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PBT-Tabellen\"/>
    </mc:Choice>
  </mc:AlternateContent>
  <bookViews>
    <workbookView xWindow="0" yWindow="0" windowWidth="28800" windowHeight="12300" activeTab="2"/>
  </bookViews>
  <sheets>
    <sheet name="Aufholpotenzial-Berechnung" sheetId="1" r:id="rId1"/>
    <sheet name="Gestiegen seit Tief" sheetId="4" r:id="rId2"/>
    <sheet name="Nur Aktuell" sheetId="3" r:id="rId3"/>
    <sheet name="Nur Rückblick" sheetId="2" r:id="rId4"/>
  </sheets>
  <definedNames>
    <definedName name="_xlnm.Print_Titles" localSheetId="0">'Aufholpotenzial-Berechnung'!$12:$13</definedName>
  </definedNames>
  <calcPr calcId="162913"/>
</workbook>
</file>

<file path=xl/calcChain.xml><?xml version="1.0" encoding="utf-8"?>
<calcChain xmlns="http://schemas.openxmlformats.org/spreadsheetml/2006/main">
  <c r="H59" i="1" l="1"/>
  <c r="I59" i="1"/>
  <c r="K59" i="1" s="1"/>
  <c r="H30" i="1"/>
  <c r="I30" i="1"/>
  <c r="K30" i="1" s="1"/>
  <c r="H19" i="1"/>
  <c r="I19" i="1"/>
  <c r="K19" i="1" s="1"/>
  <c r="H80" i="1"/>
  <c r="I80" i="1"/>
  <c r="K80" i="1" s="1"/>
  <c r="H75" i="1"/>
  <c r="I75" i="1"/>
  <c r="K75" i="1" s="1"/>
  <c r="H52" i="1"/>
  <c r="I52" i="1"/>
  <c r="K52" i="1" s="1"/>
  <c r="H97" i="1"/>
  <c r="I97" i="1"/>
  <c r="K97" i="1" s="1"/>
  <c r="H78" i="1"/>
  <c r="I78" i="1"/>
  <c r="K78" i="1" s="1"/>
  <c r="H70" i="1"/>
  <c r="I70" i="1"/>
  <c r="K70" i="1" s="1"/>
  <c r="H28" i="1"/>
  <c r="I28" i="1"/>
  <c r="K28" i="1" s="1"/>
  <c r="H25" i="1"/>
  <c r="I25" i="1"/>
  <c r="K25" i="1" s="1"/>
  <c r="H39" i="1"/>
  <c r="I39" i="1"/>
  <c r="K39" i="1" s="1"/>
  <c r="H47" i="1"/>
  <c r="I47" i="1"/>
  <c r="K47" i="1" s="1"/>
  <c r="H62" i="1"/>
  <c r="I62" i="1"/>
  <c r="K62" i="1" s="1"/>
  <c r="H65" i="1"/>
  <c r="I65" i="1"/>
  <c r="K65" i="1" s="1"/>
  <c r="H24" i="1"/>
  <c r="I24" i="1"/>
  <c r="K24" i="1" s="1"/>
  <c r="H67" i="1"/>
  <c r="I67" i="1"/>
  <c r="K67" i="1" s="1"/>
  <c r="H94" i="1"/>
  <c r="I94" i="1"/>
  <c r="K94" i="1" s="1"/>
  <c r="H35" i="1"/>
  <c r="I35" i="1"/>
  <c r="K35" i="1" s="1"/>
  <c r="H32" i="1"/>
  <c r="I32" i="1"/>
  <c r="K32" i="1" s="1"/>
  <c r="H68" i="1"/>
  <c r="I68" i="1"/>
  <c r="K68" i="1" s="1"/>
  <c r="H88" i="1"/>
  <c r="I88" i="1"/>
  <c r="K88" i="1" s="1"/>
  <c r="H33" i="1"/>
  <c r="I33" i="1"/>
  <c r="K33" i="1" s="1"/>
  <c r="H90" i="1"/>
  <c r="I90" i="1"/>
  <c r="K90" i="1" s="1"/>
  <c r="H23" i="1"/>
  <c r="I23" i="1"/>
  <c r="K23" i="1" s="1"/>
  <c r="H53" i="1"/>
  <c r="I53" i="1"/>
  <c r="K53" i="1" s="1"/>
  <c r="H50" i="1"/>
  <c r="I50" i="1"/>
  <c r="K50" i="1" s="1"/>
  <c r="H40" i="1"/>
  <c r="I40" i="1"/>
  <c r="K40" i="1" s="1"/>
  <c r="H96" i="1"/>
  <c r="I96" i="1"/>
  <c r="K96" i="1" s="1"/>
  <c r="H17" i="1"/>
  <c r="I17" i="1"/>
  <c r="K17" i="1" s="1"/>
  <c r="H46" i="1"/>
  <c r="I46" i="1"/>
  <c r="K46" i="1" s="1"/>
  <c r="H37" i="1"/>
  <c r="I37" i="1"/>
  <c r="K37" i="1"/>
  <c r="H55" i="1"/>
  <c r="I55" i="1"/>
  <c r="K55" i="1" s="1"/>
  <c r="H89" i="1"/>
  <c r="I89" i="1"/>
  <c r="K89" i="1" s="1"/>
  <c r="H54" i="1"/>
  <c r="I54" i="1"/>
  <c r="K54" i="1" s="1"/>
  <c r="H34" i="1"/>
  <c r="I34" i="1"/>
  <c r="K34" i="1" s="1"/>
  <c r="H63" i="1"/>
  <c r="I63" i="1"/>
  <c r="K63" i="1" s="1"/>
  <c r="H91" i="1"/>
  <c r="I91" i="1"/>
  <c r="K91" i="1" s="1"/>
  <c r="H85" i="1"/>
  <c r="I85" i="1"/>
  <c r="K85" i="1" s="1"/>
  <c r="H76" i="1"/>
  <c r="I76" i="1"/>
  <c r="K76" i="1" s="1"/>
  <c r="H73" i="1"/>
  <c r="I73" i="1"/>
  <c r="K73" i="1" s="1"/>
  <c r="H21" i="1"/>
  <c r="I21" i="1"/>
  <c r="K21" i="1" s="1"/>
  <c r="H60" i="1"/>
  <c r="I60" i="1"/>
  <c r="K60" i="1" s="1"/>
  <c r="H83" i="1"/>
  <c r="I83" i="1"/>
  <c r="K83" i="1" s="1"/>
  <c r="H64" i="1"/>
  <c r="I64" i="1"/>
  <c r="K64" i="1" s="1"/>
  <c r="H82" i="1"/>
  <c r="I82" i="1"/>
  <c r="K82" i="1" s="1"/>
  <c r="H72" i="1"/>
  <c r="I72" i="1"/>
  <c r="K72" i="1" s="1"/>
  <c r="H93" i="1"/>
  <c r="I93" i="1"/>
  <c r="K93" i="1" s="1"/>
  <c r="H58" i="1"/>
  <c r="I58" i="1"/>
  <c r="K58" i="1" s="1"/>
  <c r="H42" i="1"/>
  <c r="I42" i="1"/>
  <c r="K42" i="1" s="1"/>
  <c r="H84" i="1"/>
  <c r="I84" i="1"/>
  <c r="K84" i="1" s="1"/>
  <c r="H79" i="1"/>
  <c r="I79" i="1"/>
  <c r="K79" i="1" s="1"/>
  <c r="H66" i="1"/>
  <c r="I66" i="1"/>
  <c r="K66" i="1" s="1"/>
  <c r="H77" i="1"/>
  <c r="I77" i="1"/>
  <c r="K77" i="1" s="1"/>
  <c r="H41" i="1"/>
  <c r="I41" i="1"/>
  <c r="K41" i="1" s="1"/>
  <c r="H71" i="1"/>
  <c r="I71" i="1"/>
  <c r="K71" i="1" s="1"/>
  <c r="H74" i="1"/>
  <c r="I74" i="1"/>
  <c r="K74" i="1" s="1"/>
  <c r="H18" i="1"/>
  <c r="I18" i="1"/>
  <c r="K18" i="1" s="1"/>
  <c r="H69" i="1"/>
  <c r="I69" i="1"/>
  <c r="K69" i="1" s="1"/>
  <c r="H56" i="1"/>
  <c r="I56" i="1"/>
  <c r="K56" i="1" s="1"/>
  <c r="H51" i="1"/>
  <c r="I51" i="1"/>
  <c r="K51" i="1" s="1"/>
  <c r="H43" i="1"/>
  <c r="I43" i="1"/>
  <c r="K43" i="1" s="1"/>
  <c r="H81" i="1"/>
  <c r="I81" i="1"/>
  <c r="K81" i="1" s="1"/>
  <c r="H27" i="1"/>
  <c r="I27" i="1"/>
  <c r="K27" i="1" s="1"/>
  <c r="H92" i="1"/>
  <c r="I92" i="1"/>
  <c r="K92" i="1" s="1"/>
  <c r="H61" i="1"/>
  <c r="I61" i="1"/>
  <c r="K61" i="1" s="1"/>
  <c r="H15" i="1"/>
  <c r="I15" i="1"/>
  <c r="K15" i="1" s="1"/>
  <c r="H44" i="1"/>
  <c r="I44" i="1"/>
  <c r="K44" i="1" s="1"/>
  <c r="H86" i="1"/>
  <c r="I86" i="1"/>
  <c r="K86" i="1" s="1"/>
  <c r="H36" i="1"/>
  <c r="I36" i="1"/>
  <c r="K36" i="1" s="1"/>
  <c r="H48" i="1"/>
  <c r="I48" i="1"/>
  <c r="K48" i="1" s="1"/>
  <c r="H38" i="1"/>
  <c r="I38" i="1"/>
  <c r="K38" i="1" s="1"/>
  <c r="H95" i="1"/>
  <c r="I95" i="1"/>
  <c r="K95" i="1" s="1"/>
  <c r="H22" i="1"/>
  <c r="I22" i="1"/>
  <c r="K22" i="1" s="1"/>
  <c r="H87" i="1"/>
  <c r="I87" i="1"/>
  <c r="K87" i="1" s="1"/>
  <c r="H29" i="1"/>
  <c r="I29" i="1"/>
  <c r="K29" i="1" s="1"/>
  <c r="H31" i="1"/>
  <c r="I31" i="1"/>
  <c r="K31" i="1" s="1"/>
  <c r="H57" i="1"/>
  <c r="I57" i="1"/>
  <c r="K57" i="1" s="1"/>
  <c r="H26" i="1"/>
  <c r="I26" i="1"/>
  <c r="K26" i="1" s="1"/>
  <c r="H20" i="1"/>
  <c r="I20" i="1"/>
  <c r="K20" i="1" s="1"/>
  <c r="H49" i="1"/>
  <c r="I49" i="1"/>
  <c r="K49" i="1" s="1"/>
  <c r="H14" i="1"/>
  <c r="I14" i="1"/>
  <c r="K14" i="1" s="1"/>
  <c r="H16" i="1"/>
  <c r="I16" i="1"/>
  <c r="K16" i="1" s="1"/>
  <c r="H45" i="1"/>
  <c r="I45" i="1"/>
  <c r="K45" i="1" s="1"/>
  <c r="D25" i="3" l="1"/>
  <c r="D29" i="4" l="1"/>
  <c r="I10" i="1" l="1"/>
  <c r="I9" i="1"/>
  <c r="H10" i="1"/>
  <c r="H9" i="1"/>
  <c r="E9" i="3" l="1"/>
  <c r="E10" i="3"/>
  <c r="D10" i="3"/>
  <c r="D9" i="3"/>
  <c r="E64" i="3"/>
  <c r="D64" i="3"/>
  <c r="E44" i="3"/>
  <c r="D44" i="3"/>
  <c r="E96" i="3"/>
  <c r="D96" i="3"/>
  <c r="E75" i="3"/>
  <c r="D75" i="3"/>
  <c r="E49" i="3"/>
  <c r="D49" i="3"/>
  <c r="E78" i="3"/>
  <c r="D78" i="3"/>
  <c r="E53" i="3"/>
  <c r="D53" i="3"/>
  <c r="E61" i="3"/>
  <c r="D61" i="3"/>
  <c r="E88" i="3"/>
  <c r="D88" i="3"/>
  <c r="E22" i="3"/>
  <c r="D22" i="3"/>
  <c r="E82" i="3"/>
  <c r="D82" i="3"/>
  <c r="E60" i="3"/>
  <c r="D60" i="3"/>
  <c r="E56" i="3"/>
  <c r="D56" i="3"/>
  <c r="E28" i="3"/>
  <c r="D28" i="3"/>
  <c r="E42" i="3"/>
  <c r="D42" i="3"/>
  <c r="E90" i="3"/>
  <c r="D90" i="3"/>
  <c r="E85" i="3"/>
  <c r="D85" i="3"/>
  <c r="E41" i="3"/>
  <c r="D41" i="3"/>
  <c r="E58" i="3"/>
  <c r="D58" i="3"/>
  <c r="E77" i="3"/>
  <c r="D77" i="3"/>
  <c r="E51" i="3"/>
  <c r="D51" i="3"/>
  <c r="E43" i="3"/>
  <c r="D43" i="3"/>
  <c r="E45" i="3"/>
  <c r="D45" i="3"/>
  <c r="E33" i="3"/>
  <c r="D33" i="3"/>
  <c r="E38" i="3"/>
  <c r="D38" i="3"/>
  <c r="E86" i="3"/>
  <c r="D86" i="3"/>
  <c r="E68" i="3"/>
  <c r="D68" i="3"/>
  <c r="E54" i="3"/>
  <c r="D54" i="3"/>
  <c r="E47" i="3"/>
  <c r="D47" i="3"/>
  <c r="E66" i="3"/>
  <c r="D66" i="3"/>
  <c r="E69" i="3"/>
  <c r="D69" i="3"/>
  <c r="E48" i="3"/>
  <c r="D48" i="3"/>
  <c r="E97" i="3"/>
  <c r="D97" i="3"/>
  <c r="E80" i="3"/>
  <c r="D80" i="3"/>
  <c r="E57" i="3"/>
  <c r="D57" i="3"/>
  <c r="E83" i="3"/>
  <c r="D83" i="3"/>
  <c r="E26" i="3"/>
  <c r="D26" i="3"/>
  <c r="E32" i="3"/>
  <c r="D32" i="3"/>
  <c r="E93" i="3"/>
  <c r="D93" i="3"/>
  <c r="E36" i="3"/>
  <c r="D36" i="3"/>
  <c r="E20" i="3"/>
  <c r="D20" i="3"/>
  <c r="E18" i="3"/>
  <c r="D18" i="3"/>
  <c r="E70" i="3"/>
  <c r="D70" i="3"/>
  <c r="E19" i="3"/>
  <c r="D19" i="3"/>
  <c r="E25" i="3"/>
  <c r="E81" i="3"/>
  <c r="D81" i="3"/>
  <c r="E74" i="3"/>
  <c r="D74" i="3"/>
  <c r="E50" i="3"/>
  <c r="D50" i="3"/>
  <c r="E92" i="3"/>
  <c r="E87" i="3"/>
  <c r="E40" i="3"/>
  <c r="D40" i="3"/>
  <c r="D87" i="3"/>
  <c r="D92" i="3"/>
  <c r="E79" i="3"/>
  <c r="D79" i="3"/>
  <c r="E17" i="3"/>
  <c r="E63" i="3"/>
  <c r="E59" i="3"/>
  <c r="E16" i="3"/>
  <c r="E14" i="3"/>
  <c r="E30" i="3"/>
  <c r="E29" i="3"/>
  <c r="D29" i="3"/>
  <c r="D30" i="3"/>
  <c r="D14" i="3"/>
  <c r="D16" i="3"/>
  <c r="D59" i="3"/>
  <c r="D63" i="3"/>
  <c r="E95" i="3"/>
  <c r="D95" i="3"/>
  <c r="D17" i="3"/>
  <c r="E34" i="3"/>
  <c r="D34" i="3"/>
  <c r="E23" i="3"/>
  <c r="D23" i="3"/>
  <c r="E35" i="3"/>
  <c r="D35" i="3"/>
  <c r="D23" i="4"/>
  <c r="D95" i="4"/>
  <c r="D65" i="4"/>
  <c r="D97" i="4"/>
  <c r="D35" i="4"/>
  <c r="D75" i="4"/>
  <c r="D56" i="4"/>
  <c r="D63" i="4"/>
  <c r="D38" i="4"/>
  <c r="D26" i="4"/>
  <c r="D28" i="4"/>
  <c r="D39" i="4"/>
  <c r="D43" i="4"/>
  <c r="D91" i="4"/>
  <c r="D22" i="4"/>
  <c r="D52" i="4"/>
  <c r="D87" i="4"/>
  <c r="D84" i="4"/>
  <c r="D41" i="4"/>
  <c r="D33" i="4"/>
  <c r="D58" i="4"/>
  <c r="D57" i="4"/>
  <c r="D68" i="4"/>
  <c r="D14" i="4"/>
  <c r="D74" i="4"/>
  <c r="D92" i="4"/>
  <c r="D61" i="4"/>
  <c r="D73" i="4"/>
  <c r="D90" i="4"/>
  <c r="D21" i="4"/>
  <c r="D37" i="4"/>
  <c r="D76" i="4"/>
  <c r="D31" i="4"/>
  <c r="D54" i="4"/>
  <c r="D45" i="4"/>
  <c r="D20" i="4"/>
  <c r="D24" i="4"/>
  <c r="D55" i="4"/>
  <c r="D82" i="4"/>
  <c r="D27" i="4"/>
  <c r="D67" i="4"/>
  <c r="D94" i="4"/>
  <c r="D30" i="4"/>
  <c r="D89" i="4"/>
  <c r="D16" i="4"/>
  <c r="D15" i="4"/>
  <c r="D48" i="4"/>
  <c r="D88" i="4"/>
  <c r="D96" i="4"/>
  <c r="D71" i="4"/>
  <c r="D64" i="4"/>
  <c r="D50" i="4"/>
  <c r="D80" i="4"/>
  <c r="D69" i="4"/>
  <c r="D25" i="4"/>
  <c r="D85" i="4"/>
  <c r="D19" i="4"/>
  <c r="D44" i="4"/>
  <c r="D59" i="4"/>
  <c r="D36" i="4"/>
  <c r="D32" i="4"/>
  <c r="D79" i="4"/>
  <c r="D78" i="4"/>
  <c r="D70" i="4"/>
  <c r="D86" i="4"/>
  <c r="D40" i="4"/>
  <c r="D47" i="4"/>
  <c r="D81" i="4"/>
  <c r="D18" i="4"/>
  <c r="D83" i="4"/>
  <c r="D93" i="4"/>
  <c r="D49" i="4"/>
  <c r="D77" i="4"/>
  <c r="D72" i="4"/>
  <c r="D66" i="4"/>
  <c r="D62" i="4"/>
  <c r="D17" i="4"/>
  <c r="D53" i="4"/>
  <c r="D34" i="4"/>
  <c r="D60" i="4"/>
  <c r="D51" i="4"/>
  <c r="D46" i="4"/>
  <c r="D42" i="4"/>
  <c r="D9" i="4"/>
  <c r="D10" i="4"/>
  <c r="E39" i="3"/>
  <c r="D39" i="3"/>
  <c r="E89" i="3"/>
  <c r="D89" i="3"/>
  <c r="E94" i="3"/>
  <c r="D94" i="3"/>
  <c r="E71" i="3"/>
  <c r="D71" i="3"/>
  <c r="E62" i="3"/>
  <c r="D62" i="3"/>
  <c r="E15" i="3"/>
  <c r="D15" i="3"/>
  <c r="E21" i="3"/>
  <c r="D21" i="3"/>
  <c r="E24" i="3"/>
  <c r="D24" i="3"/>
  <c r="E46" i="3"/>
  <c r="D46" i="3"/>
  <c r="E37" i="3"/>
  <c r="D37" i="3"/>
  <c r="E67" i="3"/>
  <c r="D67" i="3"/>
  <c r="E72" i="3"/>
  <c r="D72" i="3"/>
  <c r="E27" i="3"/>
  <c r="D27" i="3"/>
  <c r="E65" i="3"/>
  <c r="D65" i="3"/>
  <c r="E76" i="3"/>
  <c r="D76" i="3"/>
  <c r="E55" i="3"/>
  <c r="D55" i="3"/>
  <c r="E91" i="3"/>
  <c r="D91" i="3"/>
  <c r="E31" i="3"/>
  <c r="D31" i="3"/>
  <c r="E52" i="3"/>
  <c r="D52" i="3"/>
  <c r="E73" i="3"/>
  <c r="D73" i="3"/>
  <c r="E84" i="3"/>
  <c r="D84" i="3"/>
  <c r="E97" i="2" l="1"/>
  <c r="D97" i="2"/>
  <c r="E95" i="2"/>
  <c r="D95" i="2"/>
  <c r="E96" i="2"/>
  <c r="D96" i="2"/>
  <c r="E89" i="2"/>
  <c r="D89" i="2"/>
  <c r="E93" i="2"/>
  <c r="D93" i="2"/>
  <c r="E91" i="2"/>
  <c r="D91" i="2"/>
  <c r="E84" i="2"/>
  <c r="D84" i="2"/>
  <c r="E87" i="2"/>
  <c r="D87" i="2"/>
  <c r="E73" i="2"/>
  <c r="D73" i="2"/>
  <c r="E83" i="2"/>
  <c r="D83" i="2"/>
  <c r="E92" i="2"/>
  <c r="D92" i="2"/>
  <c r="E79" i="2"/>
  <c r="D79" i="2"/>
  <c r="E74" i="2"/>
  <c r="D74" i="2"/>
  <c r="E76" i="2"/>
  <c r="D76" i="2"/>
  <c r="E78" i="2"/>
  <c r="D78" i="2"/>
  <c r="E94" i="2"/>
  <c r="D94" i="2"/>
  <c r="E85" i="2"/>
  <c r="D85" i="2"/>
  <c r="E68" i="2"/>
  <c r="D68" i="2"/>
  <c r="E81" i="2"/>
  <c r="D81" i="2"/>
  <c r="E88" i="2"/>
  <c r="D88" i="2"/>
  <c r="E82" i="2"/>
  <c r="D82" i="2"/>
  <c r="E61" i="2"/>
  <c r="D61" i="2"/>
  <c r="E72" i="2"/>
  <c r="D72" i="2"/>
  <c r="E63" i="2"/>
  <c r="D63" i="2"/>
  <c r="E60" i="2"/>
  <c r="D60" i="2"/>
  <c r="E80" i="2"/>
  <c r="D80" i="2"/>
  <c r="E77" i="2"/>
  <c r="D77" i="2"/>
  <c r="E58" i="2"/>
  <c r="D58" i="2"/>
  <c r="E86" i="2"/>
  <c r="D86" i="2"/>
  <c r="E53" i="2"/>
  <c r="D53" i="2"/>
  <c r="E67" i="2"/>
  <c r="D67" i="2"/>
  <c r="E69" i="2"/>
  <c r="D69" i="2"/>
  <c r="E62" i="2"/>
  <c r="D62" i="2"/>
  <c r="E50" i="2"/>
  <c r="D50" i="2"/>
  <c r="E59" i="2"/>
  <c r="D59" i="2"/>
  <c r="E75" i="2"/>
  <c r="D75" i="2"/>
  <c r="E49" i="2"/>
  <c r="D49" i="2"/>
  <c r="E43" i="2"/>
  <c r="D43" i="2"/>
  <c r="E70" i="2"/>
  <c r="D70" i="2"/>
  <c r="E54" i="2"/>
  <c r="D54" i="2"/>
  <c r="E44" i="2"/>
  <c r="D44" i="2"/>
  <c r="E40" i="2"/>
  <c r="D40" i="2"/>
  <c r="E48" i="2"/>
  <c r="D48" i="2"/>
  <c r="E65" i="2"/>
  <c r="D65" i="2"/>
  <c r="E46" i="2"/>
  <c r="D46" i="2"/>
  <c r="E57" i="2"/>
  <c r="D57" i="2"/>
  <c r="E28" i="2"/>
  <c r="D28" i="2"/>
  <c r="E52" i="2"/>
  <c r="D52" i="2"/>
  <c r="E56" i="2"/>
  <c r="D56" i="2"/>
  <c r="E51" i="2"/>
  <c r="D51" i="2"/>
  <c r="E45" i="2"/>
  <c r="D45" i="2"/>
  <c r="E71" i="2"/>
  <c r="D71" i="2"/>
  <c r="E42" i="2"/>
  <c r="D42" i="2"/>
  <c r="E66" i="2"/>
  <c r="D66" i="2"/>
  <c r="E90" i="2"/>
  <c r="D90" i="2"/>
  <c r="E47" i="2"/>
  <c r="D47" i="2"/>
  <c r="E41" i="2"/>
  <c r="D41" i="2"/>
  <c r="E64" i="2"/>
  <c r="D64" i="2"/>
  <c r="E30" i="2"/>
  <c r="D30" i="2"/>
  <c r="E23" i="2"/>
  <c r="D23" i="2"/>
  <c r="E37" i="2"/>
  <c r="D37" i="2"/>
  <c r="E38" i="2"/>
  <c r="D38" i="2"/>
  <c r="E55" i="2"/>
  <c r="D55" i="2"/>
  <c r="E32" i="2"/>
  <c r="D32" i="2"/>
  <c r="E29" i="2"/>
  <c r="D29" i="2"/>
  <c r="E34" i="2"/>
  <c r="D34" i="2"/>
  <c r="E39" i="2"/>
  <c r="D39" i="2"/>
  <c r="E33" i="2"/>
  <c r="D33" i="2"/>
  <c r="E36" i="2"/>
  <c r="D36" i="2"/>
  <c r="E26" i="2"/>
  <c r="D26" i="2"/>
  <c r="E31" i="2"/>
  <c r="D31" i="2"/>
  <c r="E17" i="2"/>
  <c r="D17" i="2"/>
  <c r="E35" i="2"/>
  <c r="D35" i="2"/>
  <c r="E18" i="2"/>
  <c r="D18" i="2"/>
  <c r="E20" i="2"/>
  <c r="D20" i="2"/>
  <c r="E25" i="2"/>
  <c r="D25" i="2"/>
  <c r="E19" i="2"/>
  <c r="D19" i="2"/>
  <c r="E21" i="2"/>
  <c r="D21" i="2"/>
  <c r="E15" i="2"/>
  <c r="D15" i="2"/>
  <c r="E27" i="2"/>
  <c r="D27" i="2"/>
  <c r="E16" i="2"/>
  <c r="D16" i="2"/>
  <c r="E24" i="2"/>
  <c r="D24" i="2"/>
  <c r="E22" i="2"/>
  <c r="D22" i="2"/>
  <c r="E14" i="2"/>
  <c r="D14" i="2"/>
  <c r="E10" i="2"/>
  <c r="D10" i="2"/>
  <c r="E9" i="2"/>
  <c r="D9" i="2"/>
  <c r="D10" i="1" l="1"/>
  <c r="D9" i="1"/>
  <c r="D22" i="1"/>
  <c r="D56" i="1"/>
  <c r="D19" i="1"/>
  <c r="D15" i="1"/>
  <c r="D17" i="1"/>
  <c r="D27" i="1"/>
  <c r="D33" i="1"/>
  <c r="D14" i="1"/>
  <c r="D45" i="1"/>
  <c r="D30" i="1"/>
  <c r="D50" i="1"/>
  <c r="D23" i="1"/>
  <c r="D31" i="1"/>
  <c r="D38" i="1"/>
  <c r="D65" i="1"/>
  <c r="D91" i="1"/>
  <c r="D29" i="1"/>
  <c r="D37" i="1"/>
  <c r="D26" i="1"/>
  <c r="D49" i="1"/>
  <c r="D25" i="1"/>
  <c r="D18" i="1"/>
  <c r="D28" i="1"/>
  <c r="D72" i="1"/>
  <c r="D39" i="1"/>
  <c r="D48" i="1"/>
  <c r="D32" i="1"/>
  <c r="D24" i="1"/>
  <c r="D77" i="1"/>
  <c r="D85" i="1"/>
  <c r="D73" i="1"/>
  <c r="D42" i="1"/>
  <c r="D44" i="1"/>
  <c r="D53" i="1"/>
  <c r="D43" i="1"/>
  <c r="D66" i="1"/>
  <c r="D58" i="1"/>
  <c r="D75" i="1"/>
  <c r="D52" i="1"/>
  <c r="D83" i="1"/>
  <c r="D34" i="1"/>
  <c r="D63" i="1"/>
  <c r="D35" i="1"/>
  <c r="D67" i="1"/>
  <c r="D86" i="1"/>
  <c r="D21" i="1"/>
  <c r="D93" i="1"/>
  <c r="D46" i="1"/>
  <c r="D51" i="1"/>
  <c r="D40" i="1"/>
  <c r="D55" i="1"/>
  <c r="D36" i="1"/>
  <c r="D59" i="1"/>
  <c r="D84" i="1"/>
  <c r="D41" i="1"/>
  <c r="D80" i="1"/>
  <c r="D57" i="1"/>
  <c r="D90" i="1"/>
  <c r="D60" i="1"/>
  <c r="D95" i="1"/>
  <c r="D74" i="1"/>
  <c r="D87" i="1"/>
  <c r="D70" i="1"/>
  <c r="D69" i="1"/>
  <c r="D71" i="1"/>
  <c r="D82" i="1"/>
  <c r="D68" i="1"/>
  <c r="D92" i="1"/>
  <c r="D81" i="1"/>
  <c r="D78" i="1"/>
  <c r="D61" i="1"/>
  <c r="D62" i="1"/>
  <c r="D64" i="1"/>
  <c r="D94" i="1"/>
  <c r="D97" i="1"/>
  <c r="D20" i="1"/>
  <c r="D47" i="1"/>
  <c r="D79" i="1"/>
  <c r="D76" i="1"/>
  <c r="D96" i="1"/>
  <c r="D89" i="1"/>
  <c r="D88" i="1"/>
  <c r="D54" i="1"/>
  <c r="D16" i="1"/>
  <c r="E10" i="1" l="1"/>
  <c r="E54" i="1" l="1"/>
  <c r="E88" i="1"/>
  <c r="E95" i="1"/>
  <c r="E46" i="1"/>
  <c r="E79" i="1"/>
  <c r="E89" i="1"/>
  <c r="E66" i="1"/>
  <c r="E62" i="1"/>
  <c r="E71" i="1"/>
  <c r="E64" i="1"/>
  <c r="E81" i="1"/>
  <c r="E61" i="1"/>
  <c r="E43" i="1"/>
  <c r="E82" i="1"/>
  <c r="E92" i="1"/>
  <c r="E87" i="1"/>
  <c r="E96" i="1"/>
  <c r="E94" i="1"/>
  <c r="E51" i="1"/>
  <c r="E53" i="1"/>
  <c r="E68" i="1"/>
  <c r="E60" i="1"/>
  <c r="E93" i="1"/>
  <c r="E57" i="1"/>
  <c r="E59" i="1"/>
  <c r="E47" i="1"/>
  <c r="E85" i="1"/>
  <c r="E74" i="1"/>
  <c r="E20" i="1"/>
  <c r="E70" i="1"/>
  <c r="E32" i="1"/>
  <c r="E58" i="1"/>
  <c r="E34" i="1"/>
  <c r="E52" i="1"/>
  <c r="E78" i="1"/>
  <c r="E24" i="1"/>
  <c r="E80" i="1"/>
  <c r="E28" i="1"/>
  <c r="E36" i="1"/>
  <c r="E76" i="1"/>
  <c r="E90" i="1"/>
  <c r="E41" i="1"/>
  <c r="E63" i="1"/>
  <c r="E25" i="1"/>
  <c r="E40" i="1"/>
  <c r="E73" i="1"/>
  <c r="E37" i="1"/>
  <c r="E97" i="1"/>
  <c r="E48" i="1"/>
  <c r="E44" i="1"/>
  <c r="E22" i="1"/>
  <c r="E84" i="1"/>
  <c r="E86" i="1"/>
  <c r="E50" i="1"/>
  <c r="E38" i="1"/>
  <c r="E91" i="1"/>
  <c r="E75" i="1"/>
  <c r="E72" i="1"/>
  <c r="E83" i="1"/>
  <c r="E31" i="1"/>
  <c r="E77" i="1"/>
  <c r="E39" i="1"/>
  <c r="E69" i="1"/>
  <c r="E42" i="1"/>
  <c r="E18" i="1"/>
  <c r="E45" i="1"/>
  <c r="E21" i="1"/>
  <c r="E67" i="1"/>
  <c r="E49" i="1"/>
  <c r="E19" i="1"/>
  <c r="E33" i="1"/>
  <c r="E26" i="1"/>
  <c r="E27" i="1"/>
  <c r="E35" i="1"/>
  <c r="E23" i="1"/>
  <c r="E29" i="1"/>
  <c r="E56" i="1"/>
  <c r="E55" i="1"/>
  <c r="E17" i="1"/>
  <c r="E14" i="1"/>
  <c r="E65" i="1"/>
  <c r="E30" i="1"/>
  <c r="E15" i="1"/>
  <c r="E16" i="1"/>
  <c r="E9" i="1"/>
</calcChain>
</file>

<file path=xl/sharedStrings.xml><?xml version="1.0" encoding="utf-8"?>
<sst xmlns="http://schemas.openxmlformats.org/spreadsheetml/2006/main" count="460" uniqueCount="125">
  <si>
    <t>AB InBev</t>
  </si>
  <si>
    <t>UGI</t>
  </si>
  <si>
    <t>3M</t>
  </si>
  <si>
    <t>Aflac</t>
  </si>
  <si>
    <t>Air Liquide</t>
  </si>
  <si>
    <t>Alphabet</t>
  </si>
  <si>
    <t xml:space="preserve">Altria </t>
  </si>
  <si>
    <t>Amazon</t>
  </si>
  <si>
    <t>Amgen</t>
  </si>
  <si>
    <t>AptarGroup</t>
  </si>
  <si>
    <t>Automatic Data Processing</t>
  </si>
  <si>
    <t>Bank of Nova Scotia</t>
  </si>
  <si>
    <t>BASF</t>
  </si>
  <si>
    <t>Becton Dickinson</t>
  </si>
  <si>
    <t>Beiersdorf</t>
  </si>
  <si>
    <t>BHP Group</t>
  </si>
  <si>
    <t>British American Tobacco</t>
  </si>
  <si>
    <t>Brown-Forman</t>
  </si>
  <si>
    <t>Church &amp; Dwight</t>
  </si>
  <si>
    <t xml:space="preserve">Cisco Systems </t>
  </si>
  <si>
    <t>Coca-Cola</t>
  </si>
  <si>
    <t>Colgate-Palmolive</t>
  </si>
  <si>
    <t>Coloplast</t>
  </si>
  <si>
    <t>Com. Bank of Australia</t>
  </si>
  <si>
    <t xml:space="preserve">Danaher </t>
  </si>
  <si>
    <t>Dentsply Sirona</t>
  </si>
  <si>
    <t>Ecolab</t>
  </si>
  <si>
    <t xml:space="preserve">Emerson </t>
  </si>
  <si>
    <t>EssilorLuxottica</t>
  </si>
  <si>
    <t>Eurofins Scientific</t>
  </si>
  <si>
    <t>ExxonMobil</t>
  </si>
  <si>
    <t>Fortis</t>
  </si>
  <si>
    <t>Fresenius</t>
  </si>
  <si>
    <t>Fuchs Petrolub</t>
  </si>
  <si>
    <t>General Mills</t>
  </si>
  <si>
    <t>Gilead Sciences</t>
  </si>
  <si>
    <t>Heineken</t>
  </si>
  <si>
    <t>Henkel</t>
  </si>
  <si>
    <t>Hexagon</t>
  </si>
  <si>
    <t>Home Depot</t>
  </si>
  <si>
    <t>Hormel</t>
  </si>
  <si>
    <t>Illinois Tool Works</t>
  </si>
  <si>
    <t>Intel</t>
  </si>
  <si>
    <t>Johnson &amp; Johnson</t>
  </si>
  <si>
    <t>Linde plc</t>
  </si>
  <si>
    <t>Lindt &amp; Sprüngli</t>
  </si>
  <si>
    <t>L'Oréal</t>
  </si>
  <si>
    <t>Mastercard</t>
  </si>
  <si>
    <t>McCormick</t>
  </si>
  <si>
    <t>McDonald's</t>
  </si>
  <si>
    <t>Medtronic</t>
  </si>
  <si>
    <t>Microsoft</t>
  </si>
  <si>
    <t>Nestlé</t>
  </si>
  <si>
    <t>NextEra Energy</t>
  </si>
  <si>
    <t>Nike</t>
  </si>
  <si>
    <t>Novartis</t>
  </si>
  <si>
    <t>Novo Nordisk</t>
  </si>
  <si>
    <t>Novozymes</t>
  </si>
  <si>
    <t>Omnicom</t>
  </si>
  <si>
    <t>Oracle</t>
  </si>
  <si>
    <t>Parker Hannifin</t>
  </si>
  <si>
    <t>PepsiCo</t>
  </si>
  <si>
    <t>Philip Morris International</t>
  </si>
  <si>
    <t>Procter &amp; Gamble</t>
  </si>
  <si>
    <t>Prudential</t>
  </si>
  <si>
    <t>Reckitt Benckiser</t>
  </si>
  <si>
    <t>Roche</t>
  </si>
  <si>
    <t>Royal Dutch Shell</t>
  </si>
  <si>
    <t>Samsung</t>
  </si>
  <si>
    <t>SAP</t>
  </si>
  <si>
    <t>Saputo</t>
  </si>
  <si>
    <t>Starbucks</t>
  </si>
  <si>
    <t>Stryker</t>
  </si>
  <si>
    <t>Swedish Match</t>
  </si>
  <si>
    <t>Sysco</t>
  </si>
  <si>
    <t>Thermo Fisher Scientific</t>
  </si>
  <si>
    <t>Total</t>
  </si>
  <si>
    <t>Unilever</t>
  </si>
  <si>
    <t>VF Corp.</t>
  </si>
  <si>
    <t>Walgreens Boots Alliance</t>
  </si>
  <si>
    <t>Walt Disney</t>
  </si>
  <si>
    <t>Wells Fargo</t>
  </si>
  <si>
    <t>Woodside Petroleum</t>
  </si>
  <si>
    <t>Yum!</t>
  </si>
  <si>
    <t>Aktie</t>
  </si>
  <si>
    <t>Aufholpotenzial</t>
  </si>
  <si>
    <t>zum 12. Februar</t>
  </si>
  <si>
    <t>Erklärung:</t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</si>
  <si>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12. Februar</t>
    </r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</si>
  <si>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12. Februar</t>
    </r>
  </si>
  <si>
    <t>aktuellen Kurs</t>
  </si>
  <si>
    <t>selbst eintragen</t>
  </si>
  <si>
    <t>DAX</t>
  </si>
  <si>
    <t>Dow Jones</t>
  </si>
  <si>
    <t>Index</t>
  </si>
  <si>
    <t>Aufholpotenzial-Berechnungstabelle:</t>
  </si>
  <si>
    <t>Rückschlag</t>
  </si>
  <si>
    <t>seit 12. Feb.</t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</si>
  <si>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12. Februar</t>
    </r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</si>
  <si>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12. Februar</t>
    </r>
  </si>
  <si>
    <t>Dividenden-</t>
  </si>
  <si>
    <t>--</t>
  </si>
  <si>
    <t>Dividendenrenditen</t>
  </si>
  <si>
    <t>Beziehen sich auf die zuletzt gezahlte Dividende, durch die gefallenen Kurse errechnen sich höhere Dividenden.</t>
  </si>
  <si>
    <t>Diese gelten natürlich für denjenigen, der jetzt kauft. Beachten Sie bitte aber auch, dass bei einigen der</t>
  </si>
  <si>
    <t>Rückblick</t>
  </si>
  <si>
    <t>Aktuell</t>
  </si>
  <si>
    <t>Kurs am
 12. Feb.</t>
  </si>
  <si>
    <t>Kurs am 
23. März</t>
  </si>
  <si>
    <t>zum 12. Feb.</t>
  </si>
  <si>
    <t>Vom Hoch bis zum Krisen-Tief</t>
  </si>
  <si>
    <t>ab 12. Feb.</t>
  </si>
  <si>
    <t xml:space="preserve"> Titel eher eine Dividendenkürzung wahrscheinlich ist, bei anderen Titeln (z. B. Procter) die Dividende eher stabil gehalten oder sogar gesteigert wird.</t>
  </si>
  <si>
    <t>Anstieg</t>
  </si>
  <si>
    <t>zum 23. März</t>
  </si>
  <si>
    <t>Anstieg seit Tief am 23. März</t>
  </si>
  <si>
    <r>
      <rPr>
        <b/>
        <sz val="11"/>
        <color rgb="FF00B050"/>
        <rFont val="Calibri"/>
        <family val="2"/>
        <scheme val="minor"/>
      </rPr>
      <t>Anstieg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FF0000"/>
        <rFont val="Calibri"/>
        <family val="2"/>
        <scheme val="minor"/>
      </rPr>
      <t>Rückgang</t>
    </r>
  </si>
  <si>
    <t>kein Aufholpotenzial</t>
  </si>
  <si>
    <t>mindestens 30 % Aufholpotenzial</t>
  </si>
  <si>
    <t>weniger als 30 % Aufholpotenzial</t>
  </si>
  <si>
    <t xml:space="preserve"> --</t>
  </si>
  <si>
    <t>Kurs am
27. August</t>
  </si>
  <si>
    <t>Kurs am 
27. August</t>
  </si>
  <si>
    <t>Per 27.8. bzw. ab Ihren Eingaben</t>
  </si>
  <si>
    <t>rendite (27.8.)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</si>
</sst>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%"/>
    <numFmt numFmtId="165" formatCode="\+#,##0%;\-#,##0%;#,##0%"/>
    <numFmt numFmtId="166" formatCode="[Green]\+#,##0%;[Red]\-#,##0%;#,##0%"/>
    <numFmt numFmtId="167" formatCode="#,##0\ &quot;€&quot;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6" fillId="0" borderId="15" xfId="0" applyFont="1" applyBorder="1"/>
    <xf numFmtId="0" fontId="14" fillId="0" borderId="0" xfId="0" applyFont="1"/>
    <xf numFmtId="0" fontId="16" fillId="0" borderId="16" xfId="0" applyFont="1" applyBorder="1"/>
    <xf numFmtId="49" fontId="16" fillId="0" borderId="15" xfId="0" applyNumberFormat="1" applyFont="1" applyBorder="1" applyAlignment="1">
      <alignment horizontal="left"/>
    </xf>
    <xf numFmtId="3" fontId="0" fillId="0" borderId="0" xfId="0" applyNumberFormat="1" applyFill="1" applyBorder="1"/>
    <xf numFmtId="3" fontId="0" fillId="0" borderId="15" xfId="0" applyNumberFormat="1" applyFill="1" applyBorder="1"/>
    <xf numFmtId="165" fontId="21" fillId="0" borderId="13" xfId="0" applyNumberFormat="1" applyFont="1" applyFill="1" applyBorder="1"/>
    <xf numFmtId="165" fontId="21" fillId="0" borderId="16" xfId="0" applyNumberFormat="1" applyFont="1" applyFill="1" applyBorder="1"/>
    <xf numFmtId="0" fontId="20" fillId="0" borderId="0" xfId="0" applyFont="1" applyFill="1"/>
    <xf numFmtId="0" fontId="0" fillId="0" borderId="0" xfId="0" applyFill="1"/>
    <xf numFmtId="0" fontId="0" fillId="33" borderId="0" xfId="0" applyFill="1"/>
    <xf numFmtId="0" fontId="16" fillId="0" borderId="0" xfId="0" applyFont="1" applyBorder="1"/>
    <xf numFmtId="0" fontId="16" fillId="0" borderId="13" xfId="0" applyFont="1" applyBorder="1"/>
    <xf numFmtId="165" fontId="21" fillId="0" borderId="15" xfId="0" applyNumberFormat="1" applyFont="1" applyFill="1" applyBorder="1"/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65" fontId="21" fillId="0" borderId="0" xfId="0" applyNumberFormat="1" applyFont="1" applyFill="1" applyBorder="1"/>
    <xf numFmtId="0" fontId="23" fillId="0" borderId="0" xfId="0" applyFont="1"/>
    <xf numFmtId="0" fontId="16" fillId="0" borderId="11" xfId="0" applyFont="1" applyFill="1" applyBorder="1" applyAlignment="1">
      <alignment vertical="top"/>
    </xf>
    <xf numFmtId="0" fontId="16" fillId="0" borderId="15" xfId="0" applyFont="1" applyFill="1" applyBorder="1"/>
    <xf numFmtId="0" fontId="16" fillId="0" borderId="0" xfId="0" applyFont="1" applyFill="1" applyBorder="1"/>
    <xf numFmtId="166" fontId="16" fillId="0" borderId="0" xfId="42" applyNumberFormat="1" applyFont="1" applyFill="1" applyBorder="1"/>
    <xf numFmtId="166" fontId="16" fillId="0" borderId="15" xfId="42" applyNumberFormat="1" applyFont="1" applyFill="1" applyBorder="1"/>
    <xf numFmtId="0" fontId="23" fillId="33" borderId="0" xfId="0" applyFont="1" applyFill="1"/>
    <xf numFmtId="164" fontId="21" fillId="0" borderId="13" xfId="0" applyNumberFormat="1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33" borderId="0" xfId="0" applyFont="1" applyFill="1"/>
    <xf numFmtId="0" fontId="16" fillId="34" borderId="11" xfId="0" applyFont="1" applyFill="1" applyBorder="1" applyAlignment="1">
      <alignment vertical="top"/>
    </xf>
    <xf numFmtId="0" fontId="16" fillId="34" borderId="15" xfId="0" applyFont="1" applyFill="1" applyBorder="1"/>
    <xf numFmtId="0" fontId="16" fillId="34" borderId="0" xfId="0" applyFont="1" applyFill="1" applyBorder="1"/>
    <xf numFmtId="0" fontId="16" fillId="0" borderId="17" xfId="0" applyFont="1" applyFill="1" applyBorder="1"/>
    <xf numFmtId="0" fontId="22" fillId="0" borderId="18" xfId="0" applyFont="1" applyFill="1" applyBorder="1"/>
    <xf numFmtId="0" fontId="18" fillId="0" borderId="19" xfId="0" applyFont="1" applyFill="1" applyBorder="1"/>
    <xf numFmtId="0" fontId="18" fillId="0" borderId="18" xfId="0" applyFont="1" applyFill="1" applyBorder="1"/>
    <xf numFmtId="0" fontId="16" fillId="0" borderId="19" xfId="0" applyFont="1" applyBorder="1"/>
    <xf numFmtId="0" fontId="16" fillId="0" borderId="18" xfId="0" applyFont="1" applyBorder="1"/>
    <xf numFmtId="167" fontId="0" fillId="0" borderId="0" xfId="0" applyNumberFormat="1" applyFill="1" applyBorder="1"/>
    <xf numFmtId="167" fontId="0" fillId="0" borderId="15" xfId="0" applyNumberFormat="1" applyFill="1" applyBorder="1"/>
    <xf numFmtId="0" fontId="25" fillId="0" borderId="0" xfId="0" applyFont="1" applyFill="1"/>
    <xf numFmtId="0" fontId="25" fillId="0" borderId="0" xfId="0" applyFont="1"/>
    <xf numFmtId="3" fontId="0" fillId="0" borderId="20" xfId="0" applyNumberFormat="1" applyFill="1" applyBorder="1"/>
    <xf numFmtId="3" fontId="0" fillId="0" borderId="14" xfId="0" applyNumberFormat="1" applyFill="1" applyBorder="1"/>
    <xf numFmtId="165" fontId="21" fillId="0" borderId="11" xfId="0" applyNumberFormat="1" applyFont="1" applyFill="1" applyBorder="1"/>
    <xf numFmtId="164" fontId="21" fillId="0" borderId="16" xfId="0" applyNumberFormat="1" applyFont="1" applyFill="1" applyBorder="1"/>
    <xf numFmtId="165" fontId="26" fillId="0" borderId="13" xfId="0" applyNumberFormat="1" applyFont="1" applyFill="1" applyBorder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4" fontId="21" fillId="0" borderId="0" xfId="0" applyNumberFormat="1" applyFont="1" applyFill="1" applyBorder="1"/>
    <xf numFmtId="3" fontId="0" fillId="0" borderId="0" xfId="0" applyNumberFormat="1"/>
    <xf numFmtId="165" fontId="26" fillId="0" borderId="0" xfId="0" applyNumberFormat="1" applyFont="1" applyFill="1" applyBorder="1"/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 wrapText="1"/>
    </xf>
    <xf numFmtId="3" fontId="16" fillId="0" borderId="14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3" fontId="0" fillId="0" borderId="15" xfId="0" applyNumberFormat="1" applyBorder="1"/>
    <xf numFmtId="168" fontId="0" fillId="0" borderId="13" xfId="0" applyNumberFormat="1" applyBorder="1"/>
    <xf numFmtId="168" fontId="0" fillId="0" borderId="13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3" fontId="0" fillId="0" borderId="14" xfId="0" applyNumberFormat="1" applyBorder="1"/>
    <xf numFmtId="3" fontId="0" fillId="0" borderId="0" xfId="0" applyNumberFormat="1" applyBorder="1"/>
    <xf numFmtId="168" fontId="0" fillId="0" borderId="12" xfId="0" applyNumberFormat="1" applyBorder="1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4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B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selection activeCell="Q17" sqref="Q17"/>
    </sheetView>
  </sheetViews>
  <sheetFormatPr baseColWidth="10" defaultRowHeight="15" x14ac:dyDescent="0.25"/>
  <cols>
    <col min="1" max="1" width="34.28515625" style="11" bestFit="1" customWidth="1"/>
    <col min="2" max="2" width="11.42578125" style="11"/>
    <col min="3" max="4" width="11.42578125" style="11" customWidth="1"/>
    <col min="5" max="5" width="15.28515625" style="11" customWidth="1"/>
    <col min="6" max="6" width="15.28515625" style="11" bestFit="1" customWidth="1"/>
    <col min="7" max="10" width="15.28515625" style="11" customWidth="1"/>
    <col min="11" max="11" width="11.42578125" style="11"/>
    <col min="12" max="12" width="2.7109375" style="11" bestFit="1" customWidth="1"/>
    <col min="13" max="16384" width="11.42578125" style="11"/>
  </cols>
  <sheetData>
    <row r="1" spans="1:13" ht="36" x14ac:dyDescent="0.55000000000000004">
      <c r="A1" s="9" t="s">
        <v>95</v>
      </c>
      <c r="B1" s="10"/>
      <c r="C1" s="10"/>
      <c r="D1" s="10"/>
      <c r="E1" s="10"/>
      <c r="F1" s="2"/>
      <c r="G1" s="2"/>
      <c r="H1" s="2"/>
      <c r="I1"/>
      <c r="J1"/>
    </row>
    <row r="2" spans="1:13" ht="15" customHeight="1" x14ac:dyDescent="0.25">
      <c r="A2" s="26"/>
      <c r="B2" s="27"/>
      <c r="C2" s="27"/>
      <c r="D2" s="27"/>
      <c r="E2" s="27"/>
      <c r="F2" s="2"/>
      <c r="G2" s="2"/>
      <c r="H2" s="2"/>
      <c r="I2" s="28"/>
      <c r="J2" s="28"/>
    </row>
    <row r="3" spans="1:13" ht="15" customHeight="1" x14ac:dyDescent="0.25">
      <c r="A3" s="26"/>
      <c r="B3" s="27"/>
      <c r="C3" s="27"/>
      <c r="D3" s="27"/>
      <c r="E3" s="27"/>
      <c r="F3" s="2"/>
      <c r="G3" s="2"/>
      <c r="H3" s="2"/>
      <c r="I3" s="28"/>
      <c r="J3" s="28"/>
    </row>
    <row r="4" spans="1:13" ht="24" thickBot="1" x14ac:dyDescent="0.4">
      <c r="A4" s="26"/>
      <c r="B4" s="41" t="s">
        <v>105</v>
      </c>
      <c r="C4" s="41"/>
      <c r="D4" s="41"/>
      <c r="E4" s="41"/>
      <c r="F4" s="42" t="s">
        <v>106</v>
      </c>
      <c r="G4" s="42"/>
      <c r="H4" s="42"/>
      <c r="I4" s="42"/>
      <c r="J4" s="42"/>
    </row>
    <row r="5" spans="1:13" ht="15" customHeight="1" x14ac:dyDescent="0.25">
      <c r="A5" s="26"/>
      <c r="B5" s="54" t="s">
        <v>110</v>
      </c>
      <c r="C5" s="55"/>
      <c r="D5" s="55"/>
      <c r="E5" s="56"/>
      <c r="F5" s="54" t="s">
        <v>123</v>
      </c>
      <c r="G5" s="55"/>
      <c r="H5" s="55"/>
      <c r="I5" s="55"/>
      <c r="J5" s="56"/>
    </row>
    <row r="6" spans="1:13" ht="15" customHeight="1" thickBot="1" x14ac:dyDescent="0.3">
      <c r="A6" s="26"/>
      <c r="B6" s="57"/>
      <c r="C6" s="58"/>
      <c r="D6" s="58"/>
      <c r="E6" s="59"/>
      <c r="F6" s="57"/>
      <c r="G6" s="58"/>
      <c r="H6" s="58"/>
      <c r="I6" s="58"/>
      <c r="J6" s="59"/>
    </row>
    <row r="7" spans="1:13" s="29" customFormat="1" ht="15" customHeight="1" x14ac:dyDescent="0.25">
      <c r="A7" s="33"/>
      <c r="B7" s="62" t="s">
        <v>107</v>
      </c>
      <c r="C7" s="64" t="s">
        <v>108</v>
      </c>
      <c r="D7" s="15" t="s">
        <v>96</v>
      </c>
      <c r="E7" s="16" t="s">
        <v>85</v>
      </c>
      <c r="F7" s="60" t="s">
        <v>121</v>
      </c>
      <c r="G7" s="30" t="s">
        <v>90</v>
      </c>
      <c r="H7" s="19" t="s">
        <v>96</v>
      </c>
      <c r="I7" s="15" t="s">
        <v>85</v>
      </c>
      <c r="J7" s="16"/>
    </row>
    <row r="8" spans="1:13" ht="15" customHeight="1" thickBot="1" x14ac:dyDescent="0.3">
      <c r="A8" s="34" t="s">
        <v>94</v>
      </c>
      <c r="B8" s="63"/>
      <c r="C8" s="65"/>
      <c r="D8" s="4" t="s">
        <v>111</v>
      </c>
      <c r="E8" s="3" t="s">
        <v>109</v>
      </c>
      <c r="F8" s="61"/>
      <c r="G8" s="31" t="s">
        <v>91</v>
      </c>
      <c r="H8" s="20" t="s">
        <v>97</v>
      </c>
      <c r="I8" s="1" t="s">
        <v>86</v>
      </c>
      <c r="J8" s="3"/>
    </row>
    <row r="9" spans="1:13" ht="15" customHeight="1" x14ac:dyDescent="0.25">
      <c r="A9" s="35" t="s">
        <v>92</v>
      </c>
      <c r="B9" s="5">
        <v>13750</v>
      </c>
      <c r="C9" s="5">
        <v>8750</v>
      </c>
      <c r="D9" s="22">
        <f>C9/B9-1</f>
        <v>-0.36363636363636365</v>
      </c>
      <c r="E9" s="7">
        <f>B9/C9-1</f>
        <v>0.5714285714285714</v>
      </c>
      <c r="F9" s="5">
        <v>13200</v>
      </c>
      <c r="G9" s="5"/>
      <c r="H9" s="22">
        <f>IF(G9="",F9/B9-1,G9/B9-1)</f>
        <v>-4.0000000000000036E-2</v>
      </c>
      <c r="I9" s="17">
        <f>IF(G9="",B9/F9-1,B9/G9-1)</f>
        <v>4.1666666666666741E-2</v>
      </c>
      <c r="J9" s="7"/>
      <c r="K9" s="48"/>
    </row>
    <row r="10" spans="1:13" ht="15" customHeight="1" x14ac:dyDescent="0.25">
      <c r="A10" s="35" t="s">
        <v>93</v>
      </c>
      <c r="B10" s="5">
        <v>29551</v>
      </c>
      <c r="C10" s="5">
        <v>18850</v>
      </c>
      <c r="D10" s="22">
        <f>C10/B10-1</f>
        <v>-0.36211972522080471</v>
      </c>
      <c r="E10" s="7">
        <f>B10/C10-1</f>
        <v>0.56769230769230772</v>
      </c>
      <c r="F10" s="5">
        <v>28600</v>
      </c>
      <c r="G10" s="5"/>
      <c r="H10" s="22">
        <f>IF(G10="",F10/B10-1,G10/B10-1)</f>
        <v>-3.2181652059152022E-2</v>
      </c>
      <c r="I10" s="17">
        <f>IF(G10="",B10/F10-1,B10/G10-1)</f>
        <v>3.3251748251748259E-2</v>
      </c>
      <c r="J10" s="7"/>
      <c r="K10" s="48"/>
    </row>
    <row r="11" spans="1:13" ht="15" customHeight="1" thickBot="1" x14ac:dyDescent="0.3">
      <c r="A11" s="36"/>
      <c r="B11" s="6"/>
      <c r="C11" s="6"/>
      <c r="D11" s="6"/>
      <c r="E11" s="8"/>
      <c r="F11" s="6"/>
      <c r="G11" s="6"/>
      <c r="H11" s="6"/>
      <c r="I11" s="14"/>
      <c r="J11" s="8"/>
      <c r="K11" s="48"/>
    </row>
    <row r="12" spans="1:13" ht="15" customHeight="1" x14ac:dyDescent="0.25">
      <c r="A12" s="37"/>
      <c r="B12" s="62" t="s">
        <v>107</v>
      </c>
      <c r="C12" s="66" t="s">
        <v>108</v>
      </c>
      <c r="D12" s="12" t="s">
        <v>96</v>
      </c>
      <c r="E12" s="13" t="s">
        <v>85</v>
      </c>
      <c r="F12" s="60" t="s">
        <v>122</v>
      </c>
      <c r="G12" s="32" t="s">
        <v>90</v>
      </c>
      <c r="H12" s="21" t="s">
        <v>96</v>
      </c>
      <c r="I12" s="12" t="s">
        <v>85</v>
      </c>
      <c r="J12" s="13" t="s">
        <v>100</v>
      </c>
      <c r="K12" s="48"/>
    </row>
    <row r="13" spans="1:13" ht="15.75" thickBot="1" x14ac:dyDescent="0.3">
      <c r="A13" s="38" t="s">
        <v>84</v>
      </c>
      <c r="B13" s="63"/>
      <c r="C13" s="67"/>
      <c r="D13" s="4" t="s">
        <v>111</v>
      </c>
      <c r="E13" s="3" t="s">
        <v>109</v>
      </c>
      <c r="F13" s="61"/>
      <c r="G13" s="31" t="s">
        <v>91</v>
      </c>
      <c r="H13" s="20" t="s">
        <v>97</v>
      </c>
      <c r="I13" s="1" t="s">
        <v>86</v>
      </c>
      <c r="J13" s="3" t="s">
        <v>124</v>
      </c>
      <c r="K13" s="49"/>
    </row>
    <row r="14" spans="1:13" x14ac:dyDescent="0.25">
      <c r="A14" s="35" t="s">
        <v>81</v>
      </c>
      <c r="B14" s="39">
        <v>44</v>
      </c>
      <c r="C14" s="39">
        <v>23.89084833859291</v>
      </c>
      <c r="D14" s="22">
        <f>C14/B14-1</f>
        <v>-0.45702617412288837</v>
      </c>
      <c r="E14" s="25">
        <f>B14/C14-1</f>
        <v>0.84170940170940156</v>
      </c>
      <c r="F14" s="52">
        <v>21</v>
      </c>
      <c r="G14" s="39"/>
      <c r="H14" s="22">
        <f>IF(G14="",F14/B14-1,G14/B14-1)</f>
        <v>-0.52272727272727271</v>
      </c>
      <c r="I14" s="17">
        <f>IF(G14="",B14/F14-1,B14/G14-1)</f>
        <v>1.0952380952380953</v>
      </c>
      <c r="J14" s="74">
        <v>1.6</v>
      </c>
      <c r="K14" s="50">
        <f>IF(I14&lt;0%,-1,IF(AND(0%&lt;=I14,I14&lt;30%),0,1))</f>
        <v>1</v>
      </c>
      <c r="L14" s="11">
        <v>1</v>
      </c>
      <c r="M14" s="11" t="s">
        <v>118</v>
      </c>
    </row>
    <row r="15" spans="1:13" x14ac:dyDescent="0.25">
      <c r="A15" s="35" t="s">
        <v>67</v>
      </c>
      <c r="B15" s="39">
        <v>24</v>
      </c>
      <c r="C15" s="39">
        <v>12.348000000000001</v>
      </c>
      <c r="D15" s="22">
        <f>C15/B15-1</f>
        <v>-0.48549999999999993</v>
      </c>
      <c r="E15" s="25">
        <f>B15/C15-1</f>
        <v>0.94363459669582106</v>
      </c>
      <c r="F15" s="52">
        <v>13</v>
      </c>
      <c r="G15" s="39"/>
      <c r="H15" s="22">
        <f>IF(G15="",F15/B15-1,G15/B15-1)</f>
        <v>-0.45833333333333337</v>
      </c>
      <c r="I15" s="17">
        <f>IF(G15="",B15/F15-1,B15/G15-1)</f>
        <v>0.84615384615384626</v>
      </c>
      <c r="J15" s="69">
        <v>4.9000000000000004</v>
      </c>
      <c r="K15" s="50">
        <f>IF(I15&lt;0%,-1,IF(AND(0%&lt;=I15,I15&lt;30%),0,1))</f>
        <v>1</v>
      </c>
      <c r="L15" s="11">
        <v>-1</v>
      </c>
      <c r="M15" s="11" t="s">
        <v>117</v>
      </c>
    </row>
    <row r="16" spans="1:13" x14ac:dyDescent="0.25">
      <c r="A16" s="35" t="s">
        <v>82</v>
      </c>
      <c r="B16" s="39">
        <v>21</v>
      </c>
      <c r="C16" s="39">
        <v>8.2410020885840272</v>
      </c>
      <c r="D16" s="22">
        <f>C16/B16-1</f>
        <v>-0.6075713291150463</v>
      </c>
      <c r="E16" s="25">
        <f>B16/C16-1</f>
        <v>1.5482337917485265</v>
      </c>
      <c r="F16" s="52">
        <v>12</v>
      </c>
      <c r="G16" s="39"/>
      <c r="H16" s="22">
        <f>IF(G16="",F16/B16-1,G16/B16-1)</f>
        <v>-0.4285714285714286</v>
      </c>
      <c r="I16" s="17">
        <f>IF(G16="",B16/F16-1,B16/G16-1)</f>
        <v>0.75</v>
      </c>
      <c r="J16" s="69">
        <v>4.8</v>
      </c>
      <c r="K16" s="50">
        <f>IF(I16&lt;0%,-1,IF(AND(0%&lt;=I16,I16&lt;30%),0,1))</f>
        <v>1</v>
      </c>
      <c r="L16" s="11">
        <v>0</v>
      </c>
      <c r="M16" s="11" t="s">
        <v>119</v>
      </c>
    </row>
    <row r="17" spans="1:11" x14ac:dyDescent="0.25">
      <c r="A17" s="35" t="s">
        <v>30</v>
      </c>
      <c r="B17" s="39">
        <v>56</v>
      </c>
      <c r="C17" s="39">
        <v>28.930759235195847</v>
      </c>
      <c r="D17" s="22">
        <f>C17/B17-1</f>
        <v>-0.4833792993715027</v>
      </c>
      <c r="E17" s="25">
        <f>B17/C17-1</f>
        <v>0.9356560795636828</v>
      </c>
      <c r="F17" s="52">
        <v>34</v>
      </c>
      <c r="G17" s="39"/>
      <c r="H17" s="22">
        <f>IF(G17="",F17/B17-1,G17/B17-1)</f>
        <v>-0.3928571428571429</v>
      </c>
      <c r="I17" s="17">
        <f>IF(G17="",B17/F17-1,B17/G17-1)</f>
        <v>0.64705882352941169</v>
      </c>
      <c r="J17" s="69">
        <v>8.6999999999999993</v>
      </c>
      <c r="K17" s="50">
        <f>IF(I17&lt;0%,-1,IF(AND(0%&lt;=I17,I17&lt;30%),0,1))</f>
        <v>1</v>
      </c>
    </row>
    <row r="18" spans="1:11" x14ac:dyDescent="0.25">
      <c r="A18" s="35" t="s">
        <v>58</v>
      </c>
      <c r="B18" s="39">
        <v>73</v>
      </c>
      <c r="C18" s="39">
        <v>44.728049006868389</v>
      </c>
      <c r="D18" s="22">
        <f>C18/B18-1</f>
        <v>-0.38728699990591253</v>
      </c>
      <c r="E18" s="25">
        <f>B18/C18-1</f>
        <v>0.63208549491595756</v>
      </c>
      <c r="F18" s="52">
        <v>46</v>
      </c>
      <c r="G18" s="39"/>
      <c r="H18" s="22">
        <f>IF(G18="",F18/B18-1,G18/B18-1)</f>
        <v>-0.36986301369863017</v>
      </c>
      <c r="I18" s="17">
        <f>IF(G18="",B18/F18-1,B18/G18-1)</f>
        <v>0.58695652173913038</v>
      </c>
      <c r="J18" s="69">
        <v>4.8</v>
      </c>
      <c r="K18" s="50">
        <f>IF(I18&lt;0%,-1,IF(AND(0%&lt;=I18,I18&lt;30%),0,1))</f>
        <v>1</v>
      </c>
    </row>
    <row r="19" spans="1:11" x14ac:dyDescent="0.25">
      <c r="A19" s="35" t="s">
        <v>3</v>
      </c>
      <c r="B19" s="39">
        <v>48</v>
      </c>
      <c r="C19" s="39">
        <v>24.382773343233712</v>
      </c>
      <c r="D19" s="22">
        <f>C19/B19-1</f>
        <v>-0.49202555534929771</v>
      </c>
      <c r="E19" s="25">
        <f>B19/C19-1</f>
        <v>0.96860296916634936</v>
      </c>
      <c r="F19" s="52">
        <v>31</v>
      </c>
      <c r="G19" s="39"/>
      <c r="H19" s="22">
        <f>IF(G19="",F19/B19-1,G19/B19-1)</f>
        <v>-0.35416666666666663</v>
      </c>
      <c r="I19" s="17">
        <f>IF(G19="",B19/F19-1,B19/G19-1)</f>
        <v>0.54838709677419351</v>
      </c>
      <c r="J19" s="69">
        <v>3</v>
      </c>
      <c r="K19" s="50">
        <f>IF(I19&lt;0%,-1,IF(AND(0%&lt;=I19,I19&lt;30%),0,1))</f>
        <v>1</v>
      </c>
    </row>
    <row r="20" spans="1:11" x14ac:dyDescent="0.25">
      <c r="A20" s="35" t="s">
        <v>79</v>
      </c>
      <c r="B20" s="39">
        <v>50</v>
      </c>
      <c r="C20" s="39">
        <v>43.683868572489331</v>
      </c>
      <c r="D20" s="22">
        <f>C20/B20-1</f>
        <v>-0.12632262855021337</v>
      </c>
      <c r="E20" s="25">
        <f>B20/C20-1</f>
        <v>0.14458727292042917</v>
      </c>
      <c r="F20" s="52">
        <v>33</v>
      </c>
      <c r="G20" s="39"/>
      <c r="H20" s="22">
        <f>IF(G20="",F20/B20-1,G20/B20-1)</f>
        <v>-0.33999999999999997</v>
      </c>
      <c r="I20" s="17">
        <f>IF(G20="",B20/F20-1,B20/G20-1)</f>
        <v>0.51515151515151514</v>
      </c>
      <c r="J20" s="69">
        <v>4.8</v>
      </c>
      <c r="K20" s="50">
        <f>IF(I20&lt;0%,-1,IF(AND(0%&lt;=I20,I20&lt;30%),0,1))</f>
        <v>1</v>
      </c>
    </row>
    <row r="21" spans="1:11" x14ac:dyDescent="0.25">
      <c r="A21" s="35" t="s">
        <v>42</v>
      </c>
      <c r="B21" s="39">
        <v>62</v>
      </c>
      <c r="C21" s="39">
        <v>44.997215518841656</v>
      </c>
      <c r="D21" s="22">
        <f>C21/B21-1</f>
        <v>-0.27423845937352165</v>
      </c>
      <c r="E21" s="25">
        <f>B21/C21-1</f>
        <v>0.37786303630363038</v>
      </c>
      <c r="F21" s="52">
        <v>42</v>
      </c>
      <c r="G21" s="39"/>
      <c r="H21" s="22">
        <f>IF(G21="",F21/B21-1,G21/B21-1)</f>
        <v>-0.32258064516129037</v>
      </c>
      <c r="I21" s="17">
        <f>IF(G21="",B21/F21-1,B21/G21-1)</f>
        <v>0.47619047619047628</v>
      </c>
      <c r="J21" s="69">
        <v>2.6</v>
      </c>
      <c r="K21" s="50">
        <f>IF(I21&lt;0%,-1,IF(AND(0%&lt;=I21,I21&lt;30%),0,1))</f>
        <v>1</v>
      </c>
    </row>
    <row r="22" spans="1:11" x14ac:dyDescent="0.25">
      <c r="A22" s="35" t="s">
        <v>74</v>
      </c>
      <c r="B22" s="39">
        <v>71</v>
      </c>
      <c r="C22" s="39">
        <v>31.928717282346391</v>
      </c>
      <c r="D22" s="22">
        <f>C22/B22-1</f>
        <v>-0.55029975658667052</v>
      </c>
      <c r="E22" s="25">
        <f>B22/C22-1</f>
        <v>1.223703488372093</v>
      </c>
      <c r="F22" s="52">
        <v>49</v>
      </c>
      <c r="G22" s="39"/>
      <c r="H22" s="22">
        <f>IF(G22="",F22/B22-1,G22/B22-1)</f>
        <v>-0.3098591549295775</v>
      </c>
      <c r="I22" s="17">
        <f>IF(G22="",B22/F22-1,B22/G22-1)</f>
        <v>0.44897959183673475</v>
      </c>
      <c r="J22" s="69">
        <v>3</v>
      </c>
      <c r="K22" s="50">
        <f>IF(I22&lt;0%,-1,IF(AND(0%&lt;=I22,I22&lt;30%),0,1))</f>
        <v>1</v>
      </c>
    </row>
    <row r="23" spans="1:11" x14ac:dyDescent="0.25">
      <c r="A23" s="35" t="s">
        <v>25</v>
      </c>
      <c r="B23" s="39">
        <v>53</v>
      </c>
      <c r="C23" s="39">
        <v>30.313718210506774</v>
      </c>
      <c r="D23" s="22">
        <f>C23/B23-1</f>
        <v>-0.42804305263194764</v>
      </c>
      <c r="E23" s="25">
        <f>B23/C23-1</f>
        <v>0.74838334353949798</v>
      </c>
      <c r="F23" s="52">
        <v>37</v>
      </c>
      <c r="G23" s="39"/>
      <c r="H23" s="22">
        <f>IF(G23="",F23/B23-1,G23/B23-1)</f>
        <v>-0.30188679245283023</v>
      </c>
      <c r="I23" s="17">
        <f>IF(G23="",B23/F23-1,B23/G23-1)</f>
        <v>0.43243243243243246</v>
      </c>
      <c r="J23" s="69">
        <v>0.9</v>
      </c>
      <c r="K23" s="50">
        <f>IF(I23&lt;0%,-1,IF(AND(0%&lt;=I23,I23&lt;30%),0,1))</f>
        <v>1</v>
      </c>
    </row>
    <row r="24" spans="1:11" x14ac:dyDescent="0.25">
      <c r="A24" s="35" t="s">
        <v>16</v>
      </c>
      <c r="B24" s="39">
        <v>41</v>
      </c>
      <c r="C24" s="39">
        <v>26.303286831080204</v>
      </c>
      <c r="D24" s="22">
        <f>C24/B24-1</f>
        <v>-0.35845641875414136</v>
      </c>
      <c r="E24" s="25">
        <f>B24/C24-1</f>
        <v>0.55874055829228264</v>
      </c>
      <c r="F24" s="52">
        <v>29</v>
      </c>
      <c r="G24" s="39"/>
      <c r="H24" s="22">
        <f>IF(G24="",F24/B24-1,G24/B24-1)</f>
        <v>-0.29268292682926833</v>
      </c>
      <c r="I24" s="17">
        <f>IF(G24="",B24/F24-1,B24/G24-1)</f>
        <v>0.4137931034482758</v>
      </c>
      <c r="J24" s="69">
        <v>8</v>
      </c>
      <c r="K24" s="50">
        <f>IF(I24&lt;0%,-1,IF(AND(0%&lt;=I24,I24&lt;30%),0,1))</f>
        <v>1</v>
      </c>
    </row>
    <row r="25" spans="1:11" x14ac:dyDescent="0.25">
      <c r="A25" s="35" t="s">
        <v>11</v>
      </c>
      <c r="B25" s="39">
        <v>52</v>
      </c>
      <c r="C25" s="39">
        <v>31.564666092257045</v>
      </c>
      <c r="D25" s="22">
        <f>C25/B25-1</f>
        <v>-0.39298719053351838</v>
      </c>
      <c r="E25" s="25">
        <f>B25/C25-1</f>
        <v>0.64741169280912603</v>
      </c>
      <c r="F25" s="52">
        <v>37</v>
      </c>
      <c r="G25" s="39"/>
      <c r="H25" s="22">
        <f>IF(G25="",F25/B25-1,G25/B25-1)</f>
        <v>-0.28846153846153844</v>
      </c>
      <c r="I25" s="17">
        <f>IF(G25="",B25/F25-1,B25/G25-1)</f>
        <v>0.40540540540540548</v>
      </c>
      <c r="J25" s="69">
        <v>6.3</v>
      </c>
      <c r="K25" s="50">
        <f>IF(I25&lt;0%,-1,IF(AND(0%&lt;=I25,I25&lt;30%),0,1))</f>
        <v>1</v>
      </c>
    </row>
    <row r="26" spans="1:11" x14ac:dyDescent="0.25">
      <c r="A26" s="35" t="s">
        <v>78</v>
      </c>
      <c r="B26" s="39">
        <v>77</v>
      </c>
      <c r="C26" s="39">
        <v>46.408019305736033</v>
      </c>
      <c r="D26" s="22">
        <f>C26/B26-1</f>
        <v>-0.39729845057485669</v>
      </c>
      <c r="E26" s="25">
        <f>B26/C26-1</f>
        <v>0.65919599999999989</v>
      </c>
      <c r="F26" s="52">
        <v>55</v>
      </c>
      <c r="G26" s="39"/>
      <c r="H26" s="22">
        <f>IF(G26="",F26/B26-1,G26/B26-1)</f>
        <v>-0.2857142857142857</v>
      </c>
      <c r="I26" s="17">
        <f>IF(G26="",B26/F26-1,B26/G26-1)</f>
        <v>0.39999999999999991</v>
      </c>
      <c r="J26" s="69">
        <v>2.9</v>
      </c>
      <c r="K26" s="50">
        <f>IF(I26&lt;0%,-1,IF(AND(0%&lt;=I26,I26&lt;30%),0,1))</f>
        <v>1</v>
      </c>
    </row>
    <row r="27" spans="1:11" x14ac:dyDescent="0.25">
      <c r="A27" s="35" t="s">
        <v>64</v>
      </c>
      <c r="B27" s="39">
        <v>18</v>
      </c>
      <c r="C27" s="39">
        <v>9.3227659482572456</v>
      </c>
      <c r="D27" s="22">
        <f>C27/B27-1</f>
        <v>-0.48206855843015306</v>
      </c>
      <c r="E27" s="25">
        <f>B27/C27-1</f>
        <v>0.93075747046560098</v>
      </c>
      <c r="F27" s="52">
        <v>13</v>
      </c>
      <c r="G27" s="39"/>
      <c r="H27" s="22">
        <f>IF(G27="",F27/B27-1,G27/B27-1)</f>
        <v>-0.27777777777777779</v>
      </c>
      <c r="I27" s="17">
        <f>IF(G27="",B27/F27-1,B27/G27-1)</f>
        <v>0.38461538461538458</v>
      </c>
      <c r="J27" s="69">
        <v>1</v>
      </c>
      <c r="K27" s="50">
        <f>IF(I27&lt;0%,-1,IF(AND(0%&lt;=I27,I27&lt;30%),0,1))</f>
        <v>1</v>
      </c>
    </row>
    <row r="28" spans="1:11" x14ac:dyDescent="0.25">
      <c r="A28" s="35" t="s">
        <v>10</v>
      </c>
      <c r="B28" s="39">
        <v>164</v>
      </c>
      <c r="C28" s="39">
        <v>101.78206794134027</v>
      </c>
      <c r="D28" s="22">
        <f>C28/B28-1</f>
        <v>-0.37937763450402273</v>
      </c>
      <c r="E28" s="25">
        <f>B28/C28-1</f>
        <v>0.61128579244938885</v>
      </c>
      <c r="F28" s="52">
        <v>119</v>
      </c>
      <c r="G28" s="39"/>
      <c r="H28" s="22">
        <f>IF(G28="",F28/B28-1,G28/B28-1)</f>
        <v>-0.27439024390243905</v>
      </c>
      <c r="I28" s="17">
        <f>IF(G28="",B28/F28-1,B28/G28-1)</f>
        <v>0.37815126050420167</v>
      </c>
      <c r="J28" s="69">
        <v>2.5</v>
      </c>
      <c r="K28" s="50">
        <f>IF(I28&lt;0%,-1,IF(AND(0%&lt;=I28,I28&lt;30%),0,1))</f>
        <v>1</v>
      </c>
    </row>
    <row r="29" spans="1:11" x14ac:dyDescent="0.25">
      <c r="A29" s="35" t="s">
        <v>76</v>
      </c>
      <c r="B29" s="39">
        <v>45</v>
      </c>
      <c r="C29" s="39">
        <v>27.024999999999999</v>
      </c>
      <c r="D29" s="22">
        <f>C29/B29-1</f>
        <v>-0.39944444444444449</v>
      </c>
      <c r="E29" s="25">
        <f>B29/C29-1</f>
        <v>0.66512488436632755</v>
      </c>
      <c r="F29" s="52">
        <v>33</v>
      </c>
      <c r="G29" s="39"/>
      <c r="H29" s="22">
        <f>IF(G29="",F29/B29-1,G29/B29-1)</f>
        <v>-0.26666666666666672</v>
      </c>
      <c r="I29" s="17">
        <f>IF(G29="",B29/F29-1,B29/G29-1)</f>
        <v>0.36363636363636354</v>
      </c>
      <c r="J29" s="69">
        <v>8</v>
      </c>
      <c r="K29" s="50">
        <f>IF(I29&lt;0%,-1,IF(AND(0%&lt;=I29,I29&lt;30%),0,1))</f>
        <v>1</v>
      </c>
    </row>
    <row r="30" spans="1:11" x14ac:dyDescent="0.25">
      <c r="A30" s="35" t="s">
        <v>0</v>
      </c>
      <c r="B30" s="39">
        <v>68</v>
      </c>
      <c r="C30" s="39">
        <v>37.454999999999998</v>
      </c>
      <c r="D30" s="22">
        <f>C30/B30-1</f>
        <v>-0.44919117647058826</v>
      </c>
      <c r="E30" s="25">
        <f>B30/C30-1</f>
        <v>0.81551194767053814</v>
      </c>
      <c r="F30" s="52">
        <v>50</v>
      </c>
      <c r="G30" s="39"/>
      <c r="H30" s="22">
        <f>IF(G30="",F30/B30-1,G30/B30-1)</f>
        <v>-0.26470588235294112</v>
      </c>
      <c r="I30" s="17">
        <f>IF(G30="",B30/F30-1,B30/G30-1)</f>
        <v>0.3600000000000001</v>
      </c>
      <c r="J30" s="69">
        <v>1.8</v>
      </c>
      <c r="K30" s="50">
        <f>IF(I30&lt;0%,-1,IF(AND(0%&lt;=I30,I30&lt;30%),0,1))</f>
        <v>1</v>
      </c>
    </row>
    <row r="31" spans="1:11" x14ac:dyDescent="0.25">
      <c r="A31" s="35" t="s">
        <v>1</v>
      </c>
      <c r="B31" s="39">
        <v>39</v>
      </c>
      <c r="C31" s="39">
        <v>22.842027102283275</v>
      </c>
      <c r="D31" s="22">
        <f>C31/B31-1</f>
        <v>-0.41430699737735188</v>
      </c>
      <c r="E31" s="25">
        <f>B31/C31-1</f>
        <v>0.70737911418122712</v>
      </c>
      <c r="F31" s="52">
        <v>29</v>
      </c>
      <c r="G31" s="39"/>
      <c r="H31" s="22">
        <f>IF(G31="",F31/B31-1,G31/B31-1)</f>
        <v>-0.25641025641025639</v>
      </c>
      <c r="I31" s="17">
        <f>IF(G31="",B31/F31-1,B31/G31-1)</f>
        <v>0.34482758620689657</v>
      </c>
      <c r="J31" s="69">
        <v>3.9</v>
      </c>
      <c r="K31" s="50">
        <f>IF(I31&lt;0%,-1,IF(AND(0%&lt;=I31,I31&lt;30%),0,1))</f>
        <v>1</v>
      </c>
    </row>
    <row r="32" spans="1:11" x14ac:dyDescent="0.25">
      <c r="A32" s="35" t="s">
        <v>20</v>
      </c>
      <c r="B32" s="39">
        <v>55</v>
      </c>
      <c r="C32" s="39">
        <v>35.269166511973275</v>
      </c>
      <c r="D32" s="22">
        <f>C32/B32-1</f>
        <v>-0.35874242705503134</v>
      </c>
      <c r="E32" s="25">
        <f>B32/C32-1</f>
        <v>0.55943577462564775</v>
      </c>
      <c r="F32" s="52">
        <v>41</v>
      </c>
      <c r="G32" s="39"/>
      <c r="H32" s="22">
        <f>IF(G32="",F32/B32-1,G32/B32-1)</f>
        <v>-0.25454545454545452</v>
      </c>
      <c r="I32" s="17">
        <f>IF(G32="",B32/F32-1,B32/G32-1)</f>
        <v>0.34146341463414642</v>
      </c>
      <c r="J32" s="69">
        <v>3.3</v>
      </c>
      <c r="K32" s="50">
        <f>IF(I32&lt;0%,-1,IF(AND(0%&lt;=I32,I32&lt;30%),0,1))</f>
        <v>1</v>
      </c>
    </row>
    <row r="33" spans="1:11" x14ac:dyDescent="0.25">
      <c r="A33" s="35" t="s">
        <v>23</v>
      </c>
      <c r="B33" s="39">
        <v>55</v>
      </c>
      <c r="C33" s="39">
        <v>29.283351232912199</v>
      </c>
      <c r="D33" s="22">
        <f>C33/B33-1</f>
        <v>-0.4675754321288691</v>
      </c>
      <c r="E33" s="25">
        <f>B33/C33-1</f>
        <v>0.87820033173608536</v>
      </c>
      <c r="F33" s="52">
        <v>42</v>
      </c>
      <c r="G33" s="39"/>
      <c r="H33" s="22">
        <f>IF(G33="",F33/B33-1,G33/B33-1)</f>
        <v>-0.23636363636363633</v>
      </c>
      <c r="I33" s="17">
        <f>IF(G33="",B33/F33-1,B33/G33-1)</f>
        <v>0.30952380952380953</v>
      </c>
      <c r="J33" s="69">
        <v>4.3</v>
      </c>
      <c r="K33" s="50">
        <f>IF(I33&lt;0%,-1,IF(AND(0%&lt;=I33,I33&lt;30%),0,1))</f>
        <v>1</v>
      </c>
    </row>
    <row r="34" spans="1:11" x14ac:dyDescent="0.25">
      <c r="A34" s="35" t="s">
        <v>36</v>
      </c>
      <c r="B34" s="39">
        <v>103</v>
      </c>
      <c r="C34" s="39">
        <v>72.540000000000006</v>
      </c>
      <c r="D34" s="22">
        <f>C34/B34-1</f>
        <v>-0.29572815533980579</v>
      </c>
      <c r="E34" s="25">
        <f>B34/C34-1</f>
        <v>0.41990625861593589</v>
      </c>
      <c r="F34" s="52">
        <v>79</v>
      </c>
      <c r="G34" s="39"/>
      <c r="H34" s="22">
        <f>IF(G34="",F34/B34-1,G34/B34-1)</f>
        <v>-0.23300970873786409</v>
      </c>
      <c r="I34" s="17">
        <f>IF(G34="",B34/F34-1,B34/G34-1)</f>
        <v>0.30379746835443044</v>
      </c>
      <c r="J34" s="70" t="s">
        <v>101</v>
      </c>
      <c r="K34" s="50">
        <f>IF(I34&lt;0%,-1,IF(AND(0%&lt;=I34,I34&lt;30%),0,1))</f>
        <v>1</v>
      </c>
    </row>
    <row r="35" spans="1:11" x14ac:dyDescent="0.25">
      <c r="A35" s="35" t="s">
        <v>19</v>
      </c>
      <c r="B35" s="39">
        <v>46</v>
      </c>
      <c r="C35" s="39">
        <v>32.680527195099316</v>
      </c>
      <c r="D35" s="22">
        <f>C35/B35-1</f>
        <v>-0.28955375662827576</v>
      </c>
      <c r="E35" s="25">
        <f>B35/C35-1</f>
        <v>0.40756603237716549</v>
      </c>
      <c r="F35" s="52">
        <v>36</v>
      </c>
      <c r="G35" s="39"/>
      <c r="H35" s="22">
        <f>IF(G35="",F35/B35-1,G35/B35-1)</f>
        <v>-0.21739130434782605</v>
      </c>
      <c r="I35" s="17">
        <f>IF(G35="",B35/F35-1,B35/G35-1)</f>
        <v>0.27777777777777768</v>
      </c>
      <c r="J35" s="69">
        <v>3.4</v>
      </c>
      <c r="K35" s="50">
        <f>IF(I35&lt;0%,-1,IF(AND(0%&lt;=I35,I35&lt;30%),0,1))</f>
        <v>0</v>
      </c>
    </row>
    <row r="36" spans="1:11" x14ac:dyDescent="0.25">
      <c r="A36" s="35" t="s">
        <v>70</v>
      </c>
      <c r="B36" s="39">
        <v>28</v>
      </c>
      <c r="C36" s="39">
        <v>21.173853216908217</v>
      </c>
      <c r="D36" s="22">
        <f>C36/B36-1</f>
        <v>-0.2437909565389923</v>
      </c>
      <c r="E36" s="25">
        <f>B36/C36-1</f>
        <v>0.32238566656544188</v>
      </c>
      <c r="F36" s="52">
        <v>22</v>
      </c>
      <c r="G36" s="39"/>
      <c r="H36" s="22">
        <f>IF(G36="",F36/B36-1,G36/B36-1)</f>
        <v>-0.2142857142857143</v>
      </c>
      <c r="I36" s="17">
        <f>IF(G36="",B36/F36-1,B36/G36-1)</f>
        <v>0.27272727272727271</v>
      </c>
      <c r="J36" s="69">
        <v>2</v>
      </c>
      <c r="K36" s="50">
        <f>IF(I36&lt;0%,-1,IF(AND(0%&lt;=I36,I36&lt;30%),0,1))</f>
        <v>0</v>
      </c>
    </row>
    <row r="37" spans="1:11" x14ac:dyDescent="0.25">
      <c r="A37" s="35" t="s">
        <v>32</v>
      </c>
      <c r="B37" s="39">
        <v>49</v>
      </c>
      <c r="C37" s="39">
        <v>29.524999999999999</v>
      </c>
      <c r="D37" s="22">
        <f>C37/B37-1</f>
        <v>-0.39744897959183678</v>
      </c>
      <c r="E37" s="25">
        <f>B37/C37-1</f>
        <v>0.65961049957663009</v>
      </c>
      <c r="F37" s="52">
        <v>39</v>
      </c>
      <c r="G37" s="39"/>
      <c r="H37" s="22">
        <f>IF(G37="",F37/B37-1,G37/B37-1)</f>
        <v>-0.20408163265306123</v>
      </c>
      <c r="I37" s="17">
        <f>IF(G37="",B37/F37-1,B37/G37-1)</f>
        <v>0.25641025641025639</v>
      </c>
      <c r="J37" s="69">
        <v>2.1</v>
      </c>
      <c r="K37" s="50">
        <f>IF(I37&lt;0%,-1,IF(AND(0%&lt;=I37,I37&lt;30%),0,1))</f>
        <v>0</v>
      </c>
    </row>
    <row r="38" spans="1:11" x14ac:dyDescent="0.25">
      <c r="A38" s="35" t="s">
        <v>72</v>
      </c>
      <c r="B38" s="39">
        <v>199</v>
      </c>
      <c r="C38" s="39">
        <v>117.04102468906628</v>
      </c>
      <c r="D38" s="22">
        <f>C38/B38-1</f>
        <v>-0.41185414729112424</v>
      </c>
      <c r="E38" s="25">
        <f>B38/C38-1</f>
        <v>0.70025852498017449</v>
      </c>
      <c r="F38" s="52">
        <v>160</v>
      </c>
      <c r="G38" s="39"/>
      <c r="H38" s="22">
        <f>IF(G38="",F38/B38-1,G38/B38-1)</f>
        <v>-0.1959798994974874</v>
      </c>
      <c r="I38" s="17">
        <f>IF(G38="",B38/F38-1,B38/G38-1)</f>
        <v>0.24374999999999991</v>
      </c>
      <c r="J38" s="69">
        <v>1.2</v>
      </c>
      <c r="K38" s="50">
        <f>IF(I38&lt;0%,-1,IF(AND(0%&lt;=I38,I38&lt;30%),0,1))</f>
        <v>0</v>
      </c>
    </row>
    <row r="39" spans="1:11" x14ac:dyDescent="0.25">
      <c r="A39" s="35" t="s">
        <v>12</v>
      </c>
      <c r="B39" s="39">
        <v>64</v>
      </c>
      <c r="C39" s="39">
        <v>40.18</v>
      </c>
      <c r="D39" s="22">
        <f>C39/B39-1</f>
        <v>-0.3721875</v>
      </c>
      <c r="E39" s="25">
        <f>B39/C39-1</f>
        <v>0.59283225485316082</v>
      </c>
      <c r="F39" s="52">
        <v>52</v>
      </c>
      <c r="G39" s="39"/>
      <c r="H39" s="22">
        <f>IF(G39="",F39/B39-1,G39/B39-1)</f>
        <v>-0.1875</v>
      </c>
      <c r="I39" s="17">
        <f>IF(G39="",B39/F39-1,B39/G39-1)</f>
        <v>0.23076923076923084</v>
      </c>
      <c r="J39" s="69">
        <v>6.3</v>
      </c>
      <c r="K39" s="50">
        <f>IF(I39&lt;0%,-1,IF(AND(0%&lt;=I39,I39&lt;30%),0,1))</f>
        <v>0</v>
      </c>
    </row>
    <row r="40" spans="1:11" x14ac:dyDescent="0.25">
      <c r="A40" s="35" t="s">
        <v>28</v>
      </c>
      <c r="B40" s="39">
        <v>139</v>
      </c>
      <c r="C40" s="39">
        <v>104.2</v>
      </c>
      <c r="D40" s="22">
        <f>C40/B40-1</f>
        <v>-0.2503597122302158</v>
      </c>
      <c r="E40" s="25">
        <f>B40/C40-1</f>
        <v>0.33397312859884831</v>
      </c>
      <c r="F40" s="52">
        <v>114</v>
      </c>
      <c r="G40" s="39"/>
      <c r="H40" s="22">
        <f>IF(G40="",F40/B40-1,G40/B40-1)</f>
        <v>-0.17985611510791366</v>
      </c>
      <c r="I40" s="17">
        <f>IF(G40="",B40/F40-1,B40/G40-1)</f>
        <v>0.2192982456140351</v>
      </c>
      <c r="J40" s="70" t="s">
        <v>120</v>
      </c>
      <c r="K40" s="50">
        <f>IF(I40&lt;0%,-1,IF(AND(0%&lt;=I40,I40&lt;30%),0,1))</f>
        <v>0</v>
      </c>
    </row>
    <row r="41" spans="1:11" x14ac:dyDescent="0.25">
      <c r="A41" s="35" t="s">
        <v>55</v>
      </c>
      <c r="B41" s="39">
        <v>90</v>
      </c>
      <c r="C41" s="39">
        <v>68.52734286362606</v>
      </c>
      <c r="D41" s="22">
        <f>C41/B41-1</f>
        <v>-0.23858507929304373</v>
      </c>
      <c r="E41" s="25">
        <f>B41/C41-1</f>
        <v>0.31334437086092692</v>
      </c>
      <c r="F41" s="52">
        <v>74</v>
      </c>
      <c r="G41" s="39"/>
      <c r="H41" s="22">
        <f>IF(G41="",F41/B41-1,G41/B41-1)</f>
        <v>-0.17777777777777781</v>
      </c>
      <c r="I41" s="17">
        <f>IF(G41="",B41/F41-1,B41/G41-1)</f>
        <v>0.21621621621621623</v>
      </c>
      <c r="J41" s="69">
        <v>3.7</v>
      </c>
      <c r="K41" s="50">
        <f>IF(I41&lt;0%,-1,IF(AND(0%&lt;=I41,I41&lt;30%),0,1))</f>
        <v>0</v>
      </c>
    </row>
    <row r="42" spans="1:11" x14ac:dyDescent="0.25">
      <c r="A42" s="35" t="s">
        <v>50</v>
      </c>
      <c r="B42" s="39">
        <v>107</v>
      </c>
      <c r="C42" s="39">
        <v>69.946166697605349</v>
      </c>
      <c r="D42" s="22">
        <f>C42/B42-1</f>
        <v>-0.34629750749901544</v>
      </c>
      <c r="E42" s="25">
        <f>B42/C42-1</f>
        <v>0.52974787685774949</v>
      </c>
      <c r="F42" s="52">
        <v>89</v>
      </c>
      <c r="G42" s="39"/>
      <c r="H42" s="22">
        <f>IF(G42="",F42/B42-1,G42/B42-1)</f>
        <v>-0.16822429906542058</v>
      </c>
      <c r="I42" s="17">
        <f>IF(G42="",B42/F42-1,B42/G42-1)</f>
        <v>0.202247191011236</v>
      </c>
      <c r="J42" s="69">
        <v>2.1</v>
      </c>
      <c r="K42" s="50">
        <f>IF(I42&lt;0%,-1,IF(AND(0%&lt;=I42,I42&lt;30%),0,1))</f>
        <v>0</v>
      </c>
    </row>
    <row r="43" spans="1:11" x14ac:dyDescent="0.25">
      <c r="A43" s="35" t="s">
        <v>62</v>
      </c>
      <c r="B43" s="39">
        <v>81</v>
      </c>
      <c r="C43" s="39">
        <v>54.234174865416747</v>
      </c>
      <c r="D43" s="22">
        <f>C43/B43-1</f>
        <v>-0.33044228561213895</v>
      </c>
      <c r="E43" s="25">
        <f>B43/C43-1</f>
        <v>0.49352322960574613</v>
      </c>
      <c r="F43" s="52">
        <v>68</v>
      </c>
      <c r="G43" s="39"/>
      <c r="H43" s="22">
        <f>IF(G43="",F43/B43-1,G43/B43-1)</f>
        <v>-0.16049382716049387</v>
      </c>
      <c r="I43" s="17">
        <f>IF(G43="",B43/F43-1,B43/G43-1)</f>
        <v>0.19117647058823528</v>
      </c>
      <c r="J43" s="69">
        <v>5.8</v>
      </c>
      <c r="K43" s="50">
        <f>IF(I43&lt;0%,-1,IF(AND(0%&lt;=I43,I43&lt;30%),0,1))</f>
        <v>0</v>
      </c>
    </row>
    <row r="44" spans="1:11" x14ac:dyDescent="0.25">
      <c r="A44" s="35" t="s">
        <v>68</v>
      </c>
      <c r="B44" s="39">
        <v>1026</v>
      </c>
      <c r="C44" s="39">
        <v>676</v>
      </c>
      <c r="D44" s="22">
        <f>C44/B44-1</f>
        <v>-0.34113060428849906</v>
      </c>
      <c r="E44" s="25">
        <f>B44/C44-1</f>
        <v>0.51775147928994092</v>
      </c>
      <c r="F44" s="52">
        <v>863</v>
      </c>
      <c r="G44" s="39"/>
      <c r="H44" s="22">
        <f>IF(G44="",F44/B44-1,G44/B44-1)</f>
        <v>-0.15886939571150094</v>
      </c>
      <c r="I44" s="17">
        <f>IF(G44="",B44/F44-1,B44/G44-1)</f>
        <v>0.18887601390498254</v>
      </c>
      <c r="J44" s="69">
        <v>2.9</v>
      </c>
      <c r="K44" s="50">
        <f>IF(I44&lt;0%,-1,IF(AND(0%&lt;=I44,I44&lt;30%),0,1))</f>
        <v>0</v>
      </c>
    </row>
    <row r="45" spans="1:11" x14ac:dyDescent="0.25">
      <c r="A45" s="35" t="s">
        <v>83</v>
      </c>
      <c r="B45" s="39">
        <v>97</v>
      </c>
      <c r="C45" s="39">
        <v>53.007239651011702</v>
      </c>
      <c r="D45" s="22">
        <f>C45/B45-1</f>
        <v>-0.45353361184524021</v>
      </c>
      <c r="E45" s="25">
        <f>B45/C45-1</f>
        <v>0.82993871476098735</v>
      </c>
      <c r="F45" s="73">
        <v>82</v>
      </c>
      <c r="G45" s="39"/>
      <c r="H45" s="22">
        <f>IF(G45="",F45/B45-1,G45/B45-1)</f>
        <v>-0.15463917525773196</v>
      </c>
      <c r="I45" s="17">
        <f>IF(G45="",B45/F45-1,B45/G45-1)</f>
        <v>0.18292682926829262</v>
      </c>
      <c r="J45" s="69">
        <v>1.9</v>
      </c>
      <c r="K45" s="50">
        <f>IF(I45&lt;0%,-1,IF(AND(0%&lt;=I45,I45&lt;30%),0,1))</f>
        <v>0</v>
      </c>
    </row>
    <row r="46" spans="1:11" x14ac:dyDescent="0.25">
      <c r="A46" s="35" t="s">
        <v>31</v>
      </c>
      <c r="B46" s="39">
        <v>40</v>
      </c>
      <c r="C46" s="39">
        <v>29.873587016627873</v>
      </c>
      <c r="D46" s="22">
        <f>C46/B46-1</f>
        <v>-0.25316032458430315</v>
      </c>
      <c r="E46" s="25">
        <f>B46/C46-1</f>
        <v>0.33897546276366763</v>
      </c>
      <c r="F46" s="52">
        <v>34</v>
      </c>
      <c r="G46" s="39"/>
      <c r="H46" s="22">
        <f>IF(G46="",F46/B46-1,G46/B46-1)</f>
        <v>-0.15000000000000002</v>
      </c>
      <c r="I46" s="17">
        <f>IF(G46="",B46/F46-1,B46/G46-1)</f>
        <v>0.17647058823529416</v>
      </c>
      <c r="J46" s="69">
        <v>3.6</v>
      </c>
      <c r="K46" s="50">
        <f>IF(I46&lt;0%,-1,IF(AND(0%&lt;=I46,I46&lt;30%),0,1))</f>
        <v>0</v>
      </c>
    </row>
    <row r="47" spans="1:11" x14ac:dyDescent="0.25">
      <c r="A47" s="35" t="s">
        <v>13</v>
      </c>
      <c r="B47" s="39">
        <v>232</v>
      </c>
      <c r="C47" s="39">
        <v>203.18173380360128</v>
      </c>
      <c r="D47" s="22">
        <f>C47/B47-1</f>
        <v>-0.12421666463964964</v>
      </c>
      <c r="E47" s="25">
        <f>B47/C47-1</f>
        <v>0.14183492608767145</v>
      </c>
      <c r="F47" s="52">
        <v>200</v>
      </c>
      <c r="G47" s="39"/>
      <c r="H47" s="22">
        <f>IF(G47="",F47/B47-1,G47/B47-1)</f>
        <v>-0.13793103448275867</v>
      </c>
      <c r="I47" s="17">
        <f>IF(G47="",B47/F47-1,B47/G47-1)</f>
        <v>0.15999999999999992</v>
      </c>
      <c r="J47" s="69">
        <v>1.3</v>
      </c>
      <c r="K47" s="50">
        <f>IF(I47&lt;0%,-1,IF(AND(0%&lt;=I47,I47&lt;30%),0,1))</f>
        <v>0</v>
      </c>
    </row>
    <row r="48" spans="1:11" x14ac:dyDescent="0.25">
      <c r="A48" s="35" t="s">
        <v>71</v>
      </c>
      <c r="B48" s="39">
        <v>81</v>
      </c>
      <c r="C48" s="39">
        <v>51.898087989604605</v>
      </c>
      <c r="D48" s="22">
        <f>C48/B48-1</f>
        <v>-0.35928286432586909</v>
      </c>
      <c r="E48" s="25">
        <f>B48/C48-1</f>
        <v>0.56075114012340155</v>
      </c>
      <c r="F48" s="52">
        <v>70</v>
      </c>
      <c r="G48" s="39"/>
      <c r="H48" s="22">
        <f>IF(G48="",F48/B48-1,G48/B48-1)</f>
        <v>-0.13580246913580252</v>
      </c>
      <c r="I48" s="17">
        <f>IF(G48="",B48/F48-1,B48/G48-1)</f>
        <v>0.15714285714285725</v>
      </c>
      <c r="J48" s="69">
        <v>2</v>
      </c>
      <c r="K48" s="50">
        <f>IF(I48&lt;0%,-1,IF(AND(0%&lt;=I48,I48&lt;30%),0,1))</f>
        <v>0</v>
      </c>
    </row>
    <row r="49" spans="1:11" x14ac:dyDescent="0.25">
      <c r="A49" s="35" t="s">
        <v>80</v>
      </c>
      <c r="B49" s="39">
        <v>130</v>
      </c>
      <c r="C49" s="39">
        <v>78.884351215890106</v>
      </c>
      <c r="D49" s="22">
        <f>C49/B49-1</f>
        <v>-0.39319729833930683</v>
      </c>
      <c r="E49" s="25">
        <f>B49/C49-1</f>
        <v>0.647982115543005</v>
      </c>
      <c r="F49" s="52">
        <v>113</v>
      </c>
      <c r="G49" s="39"/>
      <c r="H49" s="22">
        <f>IF(G49="",F49/B49-1,G49/B49-1)</f>
        <v>-0.13076923076923075</v>
      </c>
      <c r="I49" s="17">
        <f>IF(G49="",B49/F49-1,B49/G49-1)</f>
        <v>0.15044247787610621</v>
      </c>
      <c r="J49" s="70" t="s">
        <v>120</v>
      </c>
      <c r="K49" s="50">
        <f>IF(I49&lt;0%,-1,IF(AND(0%&lt;=I49,I49&lt;30%),0,1))</f>
        <v>0</v>
      </c>
    </row>
    <row r="50" spans="1:11" x14ac:dyDescent="0.25">
      <c r="A50" s="35" t="s">
        <v>27</v>
      </c>
      <c r="B50" s="39">
        <v>69</v>
      </c>
      <c r="C50" s="39">
        <v>38.212363096343054</v>
      </c>
      <c r="D50" s="22">
        <f>C50/B50-1</f>
        <v>-0.44619763628488329</v>
      </c>
      <c r="E50" s="25">
        <f>B50/C50-1</f>
        <v>0.80569832402234609</v>
      </c>
      <c r="F50" s="52">
        <v>60</v>
      </c>
      <c r="G50" s="39"/>
      <c r="H50" s="22">
        <f>IF(G50="",F50/B50-1,G50/B50-1)</f>
        <v>-0.13043478260869568</v>
      </c>
      <c r="I50" s="17">
        <f>IF(G50="",B50/F50-1,B50/G50-1)</f>
        <v>0.14999999999999991</v>
      </c>
      <c r="J50" s="69">
        <v>2.8</v>
      </c>
      <c r="K50" s="50">
        <f>IF(I50&lt;0%,-1,IF(AND(0%&lt;=I50,I50&lt;30%),0,1))</f>
        <v>0</v>
      </c>
    </row>
    <row r="51" spans="1:11" x14ac:dyDescent="0.25">
      <c r="A51" s="35" t="s">
        <v>61</v>
      </c>
      <c r="B51" s="39">
        <v>134</v>
      </c>
      <c r="C51" s="39">
        <v>100.39910896602935</v>
      </c>
      <c r="D51" s="22">
        <f>C51/B51-1</f>
        <v>-0.25075291816396006</v>
      </c>
      <c r="E51" s="25">
        <f>B51/C51-1</f>
        <v>0.33467319959323261</v>
      </c>
      <c r="F51" s="52">
        <v>118</v>
      </c>
      <c r="G51" s="39"/>
      <c r="H51" s="22">
        <f>IF(G51="",F51/B51-1,G51/B51-1)</f>
        <v>-0.11940298507462688</v>
      </c>
      <c r="I51" s="17">
        <f>IF(G51="",B51/F51-1,B51/G51-1)</f>
        <v>0.13559322033898313</v>
      </c>
      <c r="J51" s="69">
        <v>2.8</v>
      </c>
      <c r="K51" s="50">
        <f>IF(I51&lt;0%,-1,IF(AND(0%&lt;=I51,I51&lt;30%),0,1))</f>
        <v>0</v>
      </c>
    </row>
    <row r="52" spans="1:11" x14ac:dyDescent="0.25">
      <c r="A52" s="35" t="s">
        <v>6</v>
      </c>
      <c r="B52" s="39">
        <v>42</v>
      </c>
      <c r="C52" s="39">
        <v>29.13291256729163</v>
      </c>
      <c r="D52" s="22">
        <f>C52/B52-1</f>
        <v>-0.30635922458829457</v>
      </c>
      <c r="E52" s="25">
        <f>B52/C52-1</f>
        <v>0.44166841893984277</v>
      </c>
      <c r="F52" s="52">
        <v>37</v>
      </c>
      <c r="G52" s="39"/>
      <c r="H52" s="22">
        <f>IF(G52="",F52/B52-1,G52/B52-1)</f>
        <v>-0.11904761904761907</v>
      </c>
      <c r="I52" s="17">
        <f>IF(G52="",B52/F52-1,B52/G52-1)</f>
        <v>0.13513513513513509</v>
      </c>
      <c r="J52" s="69">
        <v>7.6</v>
      </c>
      <c r="K52" s="50">
        <f>IF(I52&lt;0%,-1,IF(AND(0%&lt;=I52,I52&lt;30%),0,1))</f>
        <v>0</v>
      </c>
    </row>
    <row r="53" spans="1:11" x14ac:dyDescent="0.25">
      <c r="A53" s="35" t="s">
        <v>26</v>
      </c>
      <c r="B53" s="39">
        <v>190</v>
      </c>
      <c r="C53" s="39">
        <v>125.90495637646187</v>
      </c>
      <c r="D53" s="22">
        <f>C53/B53-1</f>
        <v>-0.33734233486072696</v>
      </c>
      <c r="E53" s="25">
        <f>B53/C53-1</f>
        <v>0.50907482491706579</v>
      </c>
      <c r="F53" s="52">
        <v>168</v>
      </c>
      <c r="G53" s="39"/>
      <c r="H53" s="22">
        <f>IF(G53="",F53/B53-1,G53/B53-1)</f>
        <v>-0.11578947368421055</v>
      </c>
      <c r="I53" s="17">
        <f>IF(G53="",B53/F53-1,B53/G53-1)</f>
        <v>0.13095238095238093</v>
      </c>
      <c r="J53" s="69">
        <v>0.9</v>
      </c>
      <c r="K53" s="50">
        <f>IF(I53&lt;0%,-1,IF(AND(0%&lt;=I53,I53&lt;30%),0,1))</f>
        <v>0</v>
      </c>
    </row>
    <row r="54" spans="1:11" x14ac:dyDescent="0.25">
      <c r="A54" s="35" t="s">
        <v>35</v>
      </c>
      <c r="B54" s="39">
        <v>62</v>
      </c>
      <c r="C54" s="39">
        <v>68.618897345461306</v>
      </c>
      <c r="D54" s="51">
        <f>C54/B54-1</f>
        <v>0.10675640879776305</v>
      </c>
      <c r="E54" s="47">
        <f>B54/C54-1</f>
        <v>-9.6458812390098903E-2</v>
      </c>
      <c r="F54" s="52">
        <v>56</v>
      </c>
      <c r="G54" s="39"/>
      <c r="H54" s="22">
        <f>IF(G54="",F54/B54-1,G54/B54-1)</f>
        <v>-9.6774193548387122E-2</v>
      </c>
      <c r="I54" s="17">
        <f>IF(G54="",B54/F54-1,B54/G54-1)</f>
        <v>0.10714285714285721</v>
      </c>
      <c r="J54" s="69">
        <v>4</v>
      </c>
      <c r="K54" s="50">
        <f>IF(I54&lt;0%,-1,IF(AND(0%&lt;=I54,I54&lt;30%),0,1))</f>
        <v>0</v>
      </c>
    </row>
    <row r="55" spans="1:11" x14ac:dyDescent="0.25">
      <c r="A55" s="35" t="s">
        <v>33</v>
      </c>
      <c r="B55" s="39">
        <v>43</v>
      </c>
      <c r="C55" s="39">
        <v>32.28</v>
      </c>
      <c r="D55" s="22">
        <f>C55/B55-1</f>
        <v>-0.24930232558139531</v>
      </c>
      <c r="E55" s="25">
        <f>B55/C55-1</f>
        <v>0.33209417596034685</v>
      </c>
      <c r="F55" s="52">
        <v>39</v>
      </c>
      <c r="G55" s="39"/>
      <c r="H55" s="22">
        <f>IF(G55="",F55/B55-1,G55/B55-1)</f>
        <v>-9.3023255813953543E-2</v>
      </c>
      <c r="I55" s="17">
        <f>IF(G55="",B55/F55-1,B55/G55-1)</f>
        <v>0.10256410256410264</v>
      </c>
      <c r="J55" s="69">
        <v>2.5</v>
      </c>
      <c r="K55" s="50">
        <f>IF(I55&lt;0%,-1,IF(AND(0%&lt;=I55,I55&lt;30%),0,1))</f>
        <v>0</v>
      </c>
    </row>
    <row r="56" spans="1:11" x14ac:dyDescent="0.25">
      <c r="A56" s="35" t="s">
        <v>60</v>
      </c>
      <c r="B56" s="39">
        <v>197</v>
      </c>
      <c r="C56" s="39">
        <v>92.616484128457401</v>
      </c>
      <c r="D56" s="22">
        <f>C56/B56-1</f>
        <v>-0.52986556279970864</v>
      </c>
      <c r="E56" s="25">
        <f>B56/C56-1</f>
        <v>1.1270511599939872</v>
      </c>
      <c r="F56" s="52">
        <v>179</v>
      </c>
      <c r="G56" s="39"/>
      <c r="H56" s="22">
        <f>IF(G56="",F56/B56-1,G56/B56-1)</f>
        <v>-9.137055837563457E-2</v>
      </c>
      <c r="I56" s="17">
        <f>IF(G56="",B56/F56-1,B56/G56-1)</f>
        <v>0.1005586592178771</v>
      </c>
      <c r="J56" s="69">
        <v>1.7</v>
      </c>
      <c r="K56" s="50">
        <f>IF(I56&lt;0%,-1,IF(AND(0%&lt;=I56,I56&lt;30%),0,1))</f>
        <v>0</v>
      </c>
    </row>
    <row r="57" spans="1:11" x14ac:dyDescent="0.25">
      <c r="A57" s="35" t="s">
        <v>77</v>
      </c>
      <c r="B57" s="39">
        <v>55</v>
      </c>
      <c r="C57" s="39">
        <v>42.575000000000003</v>
      </c>
      <c r="D57" s="22">
        <f>C57/B57-1</f>
        <v>-0.22590909090909084</v>
      </c>
      <c r="E57" s="25">
        <f>B57/C57-1</f>
        <v>0.29183793305930705</v>
      </c>
      <c r="F57" s="52">
        <v>50</v>
      </c>
      <c r="G57" s="39"/>
      <c r="H57" s="22">
        <f>IF(G57="",F57/B57-1,G57/B57-1)</f>
        <v>-9.0909090909090939E-2</v>
      </c>
      <c r="I57" s="17">
        <f>IF(G57="",B57/F57-1,B57/G57-1)</f>
        <v>0.10000000000000009</v>
      </c>
      <c r="J57" s="69">
        <v>3.3</v>
      </c>
      <c r="K57" s="50">
        <f>IF(I57&lt;0%,-1,IF(AND(0%&lt;=I57,I57&lt;30%),0,1))</f>
        <v>0</v>
      </c>
    </row>
    <row r="58" spans="1:11" x14ac:dyDescent="0.25">
      <c r="A58" s="35" t="s">
        <v>49</v>
      </c>
      <c r="B58" s="39">
        <v>200</v>
      </c>
      <c r="C58" s="39">
        <v>137.07072582142195</v>
      </c>
      <c r="D58" s="22">
        <f>C58/B58-1</f>
        <v>-0.31464637089289027</v>
      </c>
      <c r="E58" s="25">
        <f>B58/C58-1</f>
        <v>0.45910075839653297</v>
      </c>
      <c r="F58" s="52">
        <v>182</v>
      </c>
      <c r="G58" s="39"/>
      <c r="H58" s="22">
        <f>IF(G58="",F58/B58-1,G58/B58-1)</f>
        <v>-8.9999999999999969E-2</v>
      </c>
      <c r="I58" s="17">
        <f>IF(G58="",B58/F58-1,B58/G58-1)</f>
        <v>9.8901098901098994E-2</v>
      </c>
      <c r="J58" s="69">
        <v>2.2999999999999998</v>
      </c>
      <c r="K58" s="50">
        <f>IF(I58&lt;0%,-1,IF(AND(0%&lt;=I58,I58&lt;30%),0,1))</f>
        <v>0</v>
      </c>
    </row>
    <row r="59" spans="1:11" x14ac:dyDescent="0.25">
      <c r="A59" s="35" t="s">
        <v>2</v>
      </c>
      <c r="B59" s="39">
        <v>151</v>
      </c>
      <c r="C59" s="39">
        <v>114.24726192686097</v>
      </c>
      <c r="D59" s="22">
        <f>C59/B59-1</f>
        <v>-0.24339561637840412</v>
      </c>
      <c r="E59" s="25">
        <f>B59/C59-1</f>
        <v>0.32169469493866254</v>
      </c>
      <c r="F59" s="73">
        <v>140</v>
      </c>
      <c r="G59" s="39"/>
      <c r="H59" s="22">
        <f>IF(G59="",F59/B59-1,G59/B59-1)</f>
        <v>-7.2847682119205337E-2</v>
      </c>
      <c r="I59" s="17">
        <f>IF(G59="",B59/F59-1,B59/G59-1)</f>
        <v>7.8571428571428514E-2</v>
      </c>
      <c r="J59" s="69">
        <v>3.5</v>
      </c>
      <c r="K59" s="50">
        <f>IF(I59&lt;0%,-1,IF(AND(0%&lt;=I59,I59&lt;30%),0,1))</f>
        <v>0</v>
      </c>
    </row>
    <row r="60" spans="1:11" x14ac:dyDescent="0.25">
      <c r="A60" s="35" t="s">
        <v>43</v>
      </c>
      <c r="B60" s="39">
        <v>139</v>
      </c>
      <c r="C60" s="39">
        <v>109.43939112678672</v>
      </c>
      <c r="D60" s="22">
        <f>C60/B60-1</f>
        <v>-0.21266625088642654</v>
      </c>
      <c r="E60" s="25">
        <f>B60/C60-1</f>
        <v>0.27010940547875495</v>
      </c>
      <c r="F60" s="52">
        <v>129</v>
      </c>
      <c r="G60" s="39"/>
      <c r="H60" s="22">
        <f>IF(G60="",F60/B60-1,G60/B60-1)</f>
        <v>-7.1942446043165464E-2</v>
      </c>
      <c r="I60" s="17">
        <f>IF(G60="",B60/F60-1,B60/G60-1)</f>
        <v>7.7519379844961156E-2</v>
      </c>
      <c r="J60" s="69">
        <v>2.6</v>
      </c>
      <c r="K60" s="50">
        <f>IF(I60&lt;0%,-1,IF(AND(0%&lt;=I60,I60&lt;30%),0,1))</f>
        <v>0</v>
      </c>
    </row>
    <row r="61" spans="1:11" x14ac:dyDescent="0.25">
      <c r="A61" s="35" t="s">
        <v>66</v>
      </c>
      <c r="B61" s="39">
        <v>319</v>
      </c>
      <c r="C61" s="39">
        <v>269.97768701308524</v>
      </c>
      <c r="D61" s="22">
        <f>C61/B61-1</f>
        <v>-0.15367496234142553</v>
      </c>
      <c r="E61" s="25">
        <f>B61/C61-1</f>
        <v>0.18157912799859921</v>
      </c>
      <c r="F61" s="52">
        <v>297</v>
      </c>
      <c r="G61" s="39"/>
      <c r="H61" s="22">
        <f>IF(G61="",F61/B61-1,G61/B61-1)</f>
        <v>-6.8965517241379337E-2</v>
      </c>
      <c r="I61" s="17">
        <f>IF(G61="",B61/F61-1,B61/G61-1)</f>
        <v>7.4074074074074181E-2</v>
      </c>
      <c r="J61" s="69">
        <v>2.8</v>
      </c>
      <c r="K61" s="50">
        <f>IF(I61&lt;0%,-1,IF(AND(0%&lt;=I61,I61&lt;30%),0,1))</f>
        <v>0</v>
      </c>
    </row>
    <row r="62" spans="1:11" x14ac:dyDescent="0.25">
      <c r="A62" s="35" t="s">
        <v>14</v>
      </c>
      <c r="B62" s="39">
        <v>105</v>
      </c>
      <c r="C62" s="39">
        <v>89.04</v>
      </c>
      <c r="D62" s="22">
        <f>C62/B62-1</f>
        <v>-0.15199999999999991</v>
      </c>
      <c r="E62" s="25">
        <f>B62/C62-1</f>
        <v>0.17924528301886777</v>
      </c>
      <c r="F62" s="52">
        <v>98</v>
      </c>
      <c r="G62" s="39"/>
      <c r="H62" s="22">
        <f>IF(G62="",F62/B62-1,G62/B62-1)</f>
        <v>-6.6666666666666652E-2</v>
      </c>
      <c r="I62" s="17">
        <f>IF(G62="",B62/F62-1,B62/G62-1)</f>
        <v>7.1428571428571397E-2</v>
      </c>
      <c r="J62" s="69">
        <v>0.7</v>
      </c>
      <c r="K62" s="50">
        <f>IF(I62&lt;0%,-1,IF(AND(0%&lt;=I62,I62&lt;30%),0,1))</f>
        <v>0</v>
      </c>
    </row>
    <row r="63" spans="1:11" x14ac:dyDescent="0.25">
      <c r="A63" s="35" t="s">
        <v>37</v>
      </c>
      <c r="B63" s="39">
        <v>94</v>
      </c>
      <c r="C63" s="39">
        <v>66.66</v>
      </c>
      <c r="D63" s="22">
        <f>C63/B63-1</f>
        <v>-0.29085106382978732</v>
      </c>
      <c r="E63" s="25">
        <f>B63/C63-1</f>
        <v>0.41014101410141013</v>
      </c>
      <c r="F63" s="52">
        <v>88</v>
      </c>
      <c r="G63" s="39"/>
      <c r="H63" s="22">
        <f>IF(G63="",F63/B63-1,G63/B63-1)</f>
        <v>-6.3829787234042534E-2</v>
      </c>
      <c r="I63" s="17">
        <f>IF(G63="",B63/F63-1,B63/G63-1)</f>
        <v>6.8181818181818121E-2</v>
      </c>
      <c r="J63" s="70">
        <v>2.1</v>
      </c>
      <c r="K63" s="50">
        <f>IF(I63&lt;0%,-1,IF(AND(0%&lt;=I63,I63&lt;30%),0,1))</f>
        <v>0</v>
      </c>
    </row>
    <row r="64" spans="1:11" x14ac:dyDescent="0.25">
      <c r="A64" s="35" t="s">
        <v>45</v>
      </c>
      <c r="B64" s="39">
        <v>7718</v>
      </c>
      <c r="C64" s="39">
        <v>6556.8035700779064</v>
      </c>
      <c r="D64" s="22">
        <f>C64/B64-1</f>
        <v>-0.15045302279374106</v>
      </c>
      <c r="E64" s="25">
        <f>B64/C64-1</f>
        <v>0.17709794376351828</v>
      </c>
      <c r="F64" s="52">
        <v>7257</v>
      </c>
      <c r="G64" s="39"/>
      <c r="H64" s="22">
        <f>IF(G64="",F64/B64-1,G64/B64-1)</f>
        <v>-5.9730500129567266E-2</v>
      </c>
      <c r="I64" s="17">
        <f>IF(G64="",B64/F64-1,B64/G64-1)</f>
        <v>6.3524872536860899E-2</v>
      </c>
      <c r="J64" s="69">
        <v>2.2000000000000002</v>
      </c>
      <c r="K64" s="50">
        <f>IF(I64&lt;0%,-1,IF(AND(0%&lt;=I64,I64&lt;30%),0,1))</f>
        <v>0</v>
      </c>
    </row>
    <row r="65" spans="1:11" x14ac:dyDescent="0.25">
      <c r="A65" s="35" t="s">
        <v>15</v>
      </c>
      <c r="B65" s="39">
        <v>20</v>
      </c>
      <c r="C65" s="39">
        <v>11.801926316244113</v>
      </c>
      <c r="D65" s="22">
        <f>C65/B65-1</f>
        <v>-0.40990368418779433</v>
      </c>
      <c r="E65" s="25">
        <f>B65/C65-1</f>
        <v>0.69463860933211374</v>
      </c>
      <c r="F65" s="52">
        <v>19</v>
      </c>
      <c r="G65" s="39"/>
      <c r="H65" s="22">
        <f>IF(G65="",F65/B65-1,G65/B65-1)</f>
        <v>-5.0000000000000044E-2</v>
      </c>
      <c r="I65" s="17">
        <f>IF(G65="",B65/F65-1,B65/G65-1)</f>
        <v>5.2631578947368363E-2</v>
      </c>
      <c r="J65" s="69">
        <v>5.8</v>
      </c>
      <c r="K65" s="50">
        <f>IF(I65&lt;0%,-1,IF(AND(0%&lt;=I65,I65&lt;30%),0,1))</f>
        <v>0</v>
      </c>
    </row>
    <row r="66" spans="1:11" x14ac:dyDescent="0.25">
      <c r="A66" s="35" t="s">
        <v>53</v>
      </c>
      <c r="B66" s="39">
        <v>249</v>
      </c>
      <c r="C66" s="39">
        <v>170.02506033042511</v>
      </c>
      <c r="D66" s="22">
        <f>C66/B66-1</f>
        <v>-0.31716843240793136</v>
      </c>
      <c r="E66" s="25">
        <f>B66/C66-1</f>
        <v>0.46448999645167444</v>
      </c>
      <c r="F66" s="52">
        <v>237</v>
      </c>
      <c r="G66" s="39"/>
      <c r="H66" s="22">
        <f>IF(G66="",F66/B66-1,G66/B66-1)</f>
        <v>-4.8192771084337394E-2</v>
      </c>
      <c r="I66" s="17">
        <f>IF(G66="",B66/F66-1,B66/G66-1)</f>
        <v>5.0632911392405111E-2</v>
      </c>
      <c r="J66" s="69">
        <v>2</v>
      </c>
      <c r="K66" s="50">
        <f>IF(I66&lt;0%,-1,IF(AND(0%&lt;=I66,I66&lt;30%),0,1))</f>
        <v>0</v>
      </c>
    </row>
    <row r="67" spans="1:11" x14ac:dyDescent="0.25">
      <c r="A67" s="35" t="s">
        <v>17</v>
      </c>
      <c r="B67" s="39">
        <v>65</v>
      </c>
      <c r="C67" s="39">
        <v>46.640059402264718</v>
      </c>
      <c r="D67" s="22">
        <f>C67/B67-1</f>
        <v>-0.28246062458054277</v>
      </c>
      <c r="E67" s="25">
        <f>B67/C67-1</f>
        <v>0.39365174129353209</v>
      </c>
      <c r="F67" s="52">
        <v>62</v>
      </c>
      <c r="G67" s="39"/>
      <c r="H67" s="22">
        <f>IF(G67="",F67/B67-1,G67/B67-1)</f>
        <v>-4.6153846153846101E-2</v>
      </c>
      <c r="I67" s="17">
        <f>IF(G67="",B67/F67-1,B67/G67-1)</f>
        <v>4.8387096774193505E-2</v>
      </c>
      <c r="J67" s="69">
        <v>0.9</v>
      </c>
      <c r="K67" s="50">
        <f>IF(I67&lt;0%,-1,IF(AND(0%&lt;=I67,I67&lt;30%),0,1))</f>
        <v>0</v>
      </c>
    </row>
    <row r="68" spans="1:11" x14ac:dyDescent="0.25">
      <c r="A68" s="35" t="s">
        <v>21</v>
      </c>
      <c r="B68" s="39">
        <v>70</v>
      </c>
      <c r="C68" s="39">
        <v>57.620196770001861</v>
      </c>
      <c r="D68" s="22">
        <f>C68/B68-1</f>
        <v>-0.1768543318571163</v>
      </c>
      <c r="E68" s="25">
        <f>B68/C68-1</f>
        <v>0.2148518041237113</v>
      </c>
      <c r="F68" s="52">
        <v>67</v>
      </c>
      <c r="G68" s="39"/>
      <c r="H68" s="22">
        <f>IF(G68="",F68/B68-1,G68/B68-1)</f>
        <v>-4.2857142857142816E-2</v>
      </c>
      <c r="I68" s="17">
        <f>IF(G68="",B68/F68-1,B68/G68-1)</f>
        <v>4.4776119402984982E-2</v>
      </c>
      <c r="J68" s="69">
        <v>2.2000000000000002</v>
      </c>
      <c r="K68" s="50">
        <f>IF(I68&lt;0%,-1,IF(AND(0%&lt;=I68,I68&lt;30%),0,1))</f>
        <v>0</v>
      </c>
    </row>
    <row r="69" spans="1:11" x14ac:dyDescent="0.25">
      <c r="A69" s="35" t="s">
        <v>59</v>
      </c>
      <c r="B69" s="39">
        <v>51</v>
      </c>
      <c r="C69" s="39">
        <v>41.841470206051611</v>
      </c>
      <c r="D69" s="22">
        <f>C69/B69-1</f>
        <v>-0.17957901556761546</v>
      </c>
      <c r="E69" s="25">
        <f>B69/C69-1</f>
        <v>0.21888642413487114</v>
      </c>
      <c r="F69" s="52">
        <v>49</v>
      </c>
      <c r="G69" s="39"/>
      <c r="H69" s="22">
        <f>IF(G69="",F69/B69-1,G69/B69-1)</f>
        <v>-3.9215686274509776E-2</v>
      </c>
      <c r="I69" s="17">
        <f>IF(G69="",B69/F69-1,B69/G69-1)</f>
        <v>4.081632653061229E-2</v>
      </c>
      <c r="J69" s="69">
        <v>1.7</v>
      </c>
      <c r="K69" s="50">
        <f>IF(I69&lt;0%,-1,IF(AND(0%&lt;=I69,I69&lt;30%),0,1))</f>
        <v>0</v>
      </c>
    </row>
    <row r="70" spans="1:11" x14ac:dyDescent="0.25">
      <c r="A70" s="35" t="s">
        <v>9</v>
      </c>
      <c r="B70" s="39">
        <v>105</v>
      </c>
      <c r="C70" s="39">
        <v>84.620382402079088</v>
      </c>
      <c r="D70" s="22">
        <f>C70/B70-1</f>
        <v>-0.1940915961706754</v>
      </c>
      <c r="E70" s="25">
        <f>B70/C70-1</f>
        <v>0.24083580125041126</v>
      </c>
      <c r="F70" s="52">
        <v>101</v>
      </c>
      <c r="G70" s="39"/>
      <c r="H70" s="22">
        <f>IF(G70="",F70/B70-1,G70/B70-1)</f>
        <v>-3.8095238095238071E-2</v>
      </c>
      <c r="I70" s="17">
        <f>IF(G70="",B70/F70-1,B70/G70-1)</f>
        <v>3.9603960396039639E-2</v>
      </c>
      <c r="J70" s="69">
        <v>1.2</v>
      </c>
      <c r="K70" s="50">
        <f>IF(I70&lt;0%,-1,IF(AND(0%&lt;=I70,I70&lt;30%),0,1))</f>
        <v>0</v>
      </c>
    </row>
    <row r="71" spans="1:11" x14ac:dyDescent="0.25">
      <c r="A71" s="35" t="s">
        <v>56</v>
      </c>
      <c r="B71" s="39">
        <v>58</v>
      </c>
      <c r="C71" s="39">
        <v>47.590683978048453</v>
      </c>
      <c r="D71" s="22">
        <f>C71/B71-1</f>
        <v>-0.17947096589571632</v>
      </c>
      <c r="E71" s="25">
        <f>B71/C71-1</f>
        <v>0.21872591759246229</v>
      </c>
      <c r="F71" s="52">
        <v>56</v>
      </c>
      <c r="G71" s="39"/>
      <c r="H71" s="22">
        <f>IF(G71="",F71/B71-1,G71/B71-1)</f>
        <v>-3.4482758620689613E-2</v>
      </c>
      <c r="I71" s="17">
        <f>IF(G71="",B71/F71-1,B71/G71-1)</f>
        <v>3.5714285714285809E-2</v>
      </c>
      <c r="J71" s="69">
        <v>2.1</v>
      </c>
      <c r="K71" s="50">
        <f>IF(I71&lt;0%,-1,IF(AND(0%&lt;=I71,I71&lt;30%),0,1))</f>
        <v>0</v>
      </c>
    </row>
    <row r="72" spans="1:11" x14ac:dyDescent="0.25">
      <c r="A72" s="35" t="s">
        <v>47</v>
      </c>
      <c r="B72" s="39">
        <v>307</v>
      </c>
      <c r="C72" s="39">
        <v>192.69537776127717</v>
      </c>
      <c r="D72" s="22">
        <f>C72/B72-1</f>
        <v>-0.37232775973525356</v>
      </c>
      <c r="E72" s="25">
        <f>B72/C72-1</f>
        <v>0.59318818939357421</v>
      </c>
      <c r="F72" s="52">
        <v>298</v>
      </c>
      <c r="G72" s="39"/>
      <c r="H72" s="22">
        <f>IF(G72="",F72/B72-1,G72/B72-1)</f>
        <v>-2.931596091205213E-2</v>
      </c>
      <c r="I72" s="17">
        <f>IF(G72="",B72/F72-1,B72/G72-1)</f>
        <v>3.0201342281879207E-2</v>
      </c>
      <c r="J72" s="69">
        <v>0.4</v>
      </c>
      <c r="K72" s="50">
        <f>IF(I72&lt;0%,-1,IF(AND(0%&lt;=I72,I72&lt;30%),0,1))</f>
        <v>0</v>
      </c>
    </row>
    <row r="73" spans="1:11" x14ac:dyDescent="0.25">
      <c r="A73" s="35" t="s">
        <v>41</v>
      </c>
      <c r="B73" s="39">
        <v>174</v>
      </c>
      <c r="C73" s="39">
        <v>112.99424540560609</v>
      </c>
      <c r="D73" s="22">
        <f>C73/B73-1</f>
        <v>-0.35060778502525236</v>
      </c>
      <c r="E73" s="25">
        <f>B73/C73-1</f>
        <v>0.53990142927550511</v>
      </c>
      <c r="F73" s="52">
        <v>169</v>
      </c>
      <c r="G73" s="39"/>
      <c r="H73" s="22">
        <f>IF(G73="",F73/B73-1,G73/B73-1)</f>
        <v>-2.8735632183908066E-2</v>
      </c>
      <c r="I73" s="17">
        <f>IF(G73="",B73/F73-1,B73/G73-1)</f>
        <v>2.9585798816567976E-2</v>
      </c>
      <c r="J73" s="69">
        <v>2.1</v>
      </c>
      <c r="K73" s="50">
        <f>IF(I73&lt;0%,-1,IF(AND(0%&lt;=I73,I73&lt;30%),0,1))</f>
        <v>0</v>
      </c>
    </row>
    <row r="74" spans="1:11" x14ac:dyDescent="0.25">
      <c r="A74" s="35" t="s">
        <v>57</v>
      </c>
      <c r="B74" s="39">
        <v>50</v>
      </c>
      <c r="C74" s="39">
        <v>39.740329273189666</v>
      </c>
      <c r="D74" s="22">
        <f>C74/B74-1</f>
        <v>-0.20519341453620665</v>
      </c>
      <c r="E74" s="25">
        <f>B74/C74-1</f>
        <v>0.25816773324351638</v>
      </c>
      <c r="F74" s="52">
        <v>49</v>
      </c>
      <c r="G74" s="39"/>
      <c r="H74" s="22">
        <f>IF(G74="",F74/B74-1,G74/B74-1)</f>
        <v>-2.0000000000000018E-2</v>
      </c>
      <c r="I74" s="17">
        <f>IF(G74="",B74/F74-1,B74/G74-1)</f>
        <v>2.0408163265306145E-2</v>
      </c>
      <c r="J74" s="69">
        <v>1.4</v>
      </c>
      <c r="K74" s="50">
        <f>IF(I74&lt;0%,-1,IF(AND(0%&lt;=I74,I74&lt;30%),0,1))</f>
        <v>0</v>
      </c>
    </row>
    <row r="75" spans="1:11" x14ac:dyDescent="0.25">
      <c r="A75" s="35" t="s">
        <v>5</v>
      </c>
      <c r="B75" s="39">
        <v>1397</v>
      </c>
      <c r="C75" s="39">
        <v>960.22368665305385</v>
      </c>
      <c r="D75" s="22">
        <f>C75/B75-1</f>
        <v>-0.31265305178736302</v>
      </c>
      <c r="E75" s="25">
        <f>B75/C75-1</f>
        <v>0.45486933869478818</v>
      </c>
      <c r="F75" s="52">
        <v>1386</v>
      </c>
      <c r="G75" s="39"/>
      <c r="H75" s="22">
        <f>IF(G75="",F75/B75-1,G75/B75-1)</f>
        <v>-7.8740157480314821E-3</v>
      </c>
      <c r="I75" s="17">
        <f>IF(G75="",B75/F75-1,B75/G75-1)</f>
        <v>7.9365079365079083E-3</v>
      </c>
      <c r="J75" s="70" t="s">
        <v>120</v>
      </c>
      <c r="K75" s="50">
        <f>IF(I75&lt;0%,-1,IF(AND(0%&lt;=I75,I75&lt;30%),0,1))</f>
        <v>0</v>
      </c>
    </row>
    <row r="76" spans="1:11" x14ac:dyDescent="0.25">
      <c r="A76" s="35" t="s">
        <v>40</v>
      </c>
      <c r="B76" s="39">
        <v>44</v>
      </c>
      <c r="C76" s="39">
        <v>41.089660293298685</v>
      </c>
      <c r="D76" s="22">
        <f>C76/B76-1</f>
        <v>-6.614408424321172E-2</v>
      </c>
      <c r="E76" s="25">
        <f>B76/C76-1</f>
        <v>7.0829003840072291E-2</v>
      </c>
      <c r="F76" s="52">
        <v>44</v>
      </c>
      <c r="G76" s="39"/>
      <c r="H76" s="17">
        <f>IF(G76="",F76/B76-1,G76/B76-1)</f>
        <v>0</v>
      </c>
      <c r="I76" s="17">
        <f>IF(G76="",B76/F76-1,B76/G76-1)</f>
        <v>0</v>
      </c>
      <c r="J76" s="69">
        <v>1.8</v>
      </c>
      <c r="K76" s="50">
        <f>IF(I76&lt;0%,-1,IF(AND(0%&lt;=I76,I76&lt;30%),0,1))</f>
        <v>0</v>
      </c>
    </row>
    <row r="77" spans="1:11" x14ac:dyDescent="0.25">
      <c r="A77" s="35" t="s">
        <v>54</v>
      </c>
      <c r="B77" s="39">
        <v>95</v>
      </c>
      <c r="C77" s="39">
        <v>61.040467792834605</v>
      </c>
      <c r="D77" s="22">
        <f>C77/B77-1</f>
        <v>-0.35746876007542516</v>
      </c>
      <c r="E77" s="25">
        <f>B77/C77-1</f>
        <v>0.55634456017638545</v>
      </c>
      <c r="F77" s="52">
        <v>95</v>
      </c>
      <c r="G77" s="39"/>
      <c r="H77" s="17">
        <f>IF(G77="",F77/B77-1,G77/B77-1)</f>
        <v>0</v>
      </c>
      <c r="I77" s="17">
        <f>IF(G77="",B77/F77-1,B77/G77-1)</f>
        <v>0</v>
      </c>
      <c r="J77" s="69">
        <v>0.9</v>
      </c>
      <c r="K77" s="50">
        <f>IF(I77&lt;0%,-1,IF(AND(0%&lt;=I77,I77&lt;30%),0,1))</f>
        <v>0</v>
      </c>
    </row>
    <row r="78" spans="1:11" x14ac:dyDescent="0.25">
      <c r="A78" s="35" t="s">
        <v>8</v>
      </c>
      <c r="B78" s="39">
        <v>209</v>
      </c>
      <c r="C78" s="39">
        <v>173.82587711156489</v>
      </c>
      <c r="D78" s="22">
        <f>C78/B78-1</f>
        <v>-0.1682972387006465</v>
      </c>
      <c r="E78" s="25">
        <f>B78/C78-1</f>
        <v>0.20235262708244339</v>
      </c>
      <c r="F78" s="52">
        <v>213</v>
      </c>
      <c r="G78" s="39"/>
      <c r="H78" s="17">
        <f>IF(G78="",F78/B78-1,G78/B78-1)</f>
        <v>1.9138755980861344E-2</v>
      </c>
      <c r="I78" s="17">
        <f>IF(G78="",B78/F78-1,B78/G78-1)</f>
        <v>-1.8779342723004744E-2</v>
      </c>
      <c r="J78" s="69">
        <v>2.5</v>
      </c>
      <c r="K78" s="50">
        <f>IF(I78&lt;0%,-1,IF(AND(0%&lt;=I78,I78&lt;30%),0,1))</f>
        <v>-1</v>
      </c>
    </row>
    <row r="79" spans="1:11" x14ac:dyDescent="0.25">
      <c r="A79" s="35" t="s">
        <v>52</v>
      </c>
      <c r="B79" s="39">
        <v>101</v>
      </c>
      <c r="C79" s="39">
        <v>89.441040768474394</v>
      </c>
      <c r="D79" s="22">
        <f>C79/B79-1</f>
        <v>-0.11444514090619406</v>
      </c>
      <c r="E79" s="25">
        <f>B79/C79-1</f>
        <v>0.12923551797040167</v>
      </c>
      <c r="F79" s="52">
        <v>103</v>
      </c>
      <c r="G79" s="39"/>
      <c r="H79" s="17">
        <f>IF(G79="",F79/B79-1,G79/B79-1)</f>
        <v>1.980198019801982E-2</v>
      </c>
      <c r="I79" s="17">
        <f>IF(G79="",B79/F79-1,B79/G79-1)</f>
        <v>-1.9417475728155331E-2</v>
      </c>
      <c r="J79" s="69">
        <v>2.4</v>
      </c>
      <c r="K79" s="50">
        <f>IF(I79&lt;0%,-1,IF(AND(0%&lt;=I79,I79&lt;30%),0,1))</f>
        <v>-1</v>
      </c>
    </row>
    <row r="80" spans="1:11" x14ac:dyDescent="0.25">
      <c r="A80" s="35" t="s">
        <v>4</v>
      </c>
      <c r="B80" s="39">
        <v>139</v>
      </c>
      <c r="C80" s="39">
        <v>107.1</v>
      </c>
      <c r="D80" s="22">
        <f>C80/B80-1</f>
        <v>-0.2294964028776979</v>
      </c>
      <c r="E80" s="25">
        <f>B80/C80-1</f>
        <v>0.29785247432306261</v>
      </c>
      <c r="F80" s="52">
        <v>142</v>
      </c>
      <c r="G80" s="39"/>
      <c r="H80" s="17">
        <f>IF(G80="",F80/B80-1,G80/B80-1)</f>
        <v>2.1582733812949728E-2</v>
      </c>
      <c r="I80" s="17">
        <f>IF(G80="",B80/F80-1,B80/G80-1)</f>
        <v>-2.1126760563380254E-2</v>
      </c>
      <c r="J80" s="69">
        <v>1.9</v>
      </c>
      <c r="K80" s="50">
        <f>IF(I80&lt;0%,-1,IF(AND(0%&lt;=I80,I80&lt;30%),0,1))</f>
        <v>-1</v>
      </c>
    </row>
    <row r="81" spans="1:11" x14ac:dyDescent="0.25">
      <c r="A81" s="35" t="s">
        <v>63</v>
      </c>
      <c r="B81" s="39">
        <v>114</v>
      </c>
      <c r="C81" s="39">
        <v>94.728049006868403</v>
      </c>
      <c r="D81" s="22">
        <f>C81/B81-1</f>
        <v>-0.16905220169413682</v>
      </c>
      <c r="E81" s="25">
        <f>B81/C81-1</f>
        <v>0.20344503233392097</v>
      </c>
      <c r="F81" s="52">
        <v>118</v>
      </c>
      <c r="G81" s="39"/>
      <c r="H81" s="17">
        <f>IF(G81="",F81/B81-1,G81/B81-1)</f>
        <v>3.5087719298245723E-2</v>
      </c>
      <c r="I81" s="17">
        <f>IF(G81="",B81/F81-1,B81/G81-1)</f>
        <v>-3.3898305084745783E-2</v>
      </c>
      <c r="J81" s="69">
        <v>2.2000000000000002</v>
      </c>
      <c r="K81" s="50">
        <f>IF(I81&lt;0%,-1,IF(AND(0%&lt;=I81,I81&lt;30%),0,1))</f>
        <v>-1</v>
      </c>
    </row>
    <row r="82" spans="1:11" x14ac:dyDescent="0.25">
      <c r="A82" s="35" t="s">
        <v>46</v>
      </c>
      <c r="B82" s="39">
        <v>271</v>
      </c>
      <c r="C82" s="39">
        <v>222.9</v>
      </c>
      <c r="D82" s="22">
        <f>C82/B82-1</f>
        <v>-0.177490774907749</v>
      </c>
      <c r="E82" s="25">
        <f>B82/C82-1</f>
        <v>0.21579183490354414</v>
      </c>
      <c r="F82" s="52">
        <v>282</v>
      </c>
      <c r="G82" s="39"/>
      <c r="H82" s="17">
        <f>IF(G82="",F82/B82-1,G82/B82-1)</f>
        <v>4.0590405904058935E-2</v>
      </c>
      <c r="I82" s="17">
        <f>IF(G82="",B82/F82-1,B82/G82-1)</f>
        <v>-3.9007092198581561E-2</v>
      </c>
      <c r="J82" s="69">
        <v>1.4</v>
      </c>
      <c r="K82" s="50">
        <f>IF(I82&lt;0%,-1,IF(AND(0%&lt;=I82,I82&lt;30%),0,1))</f>
        <v>-1</v>
      </c>
    </row>
    <row r="83" spans="1:11" x14ac:dyDescent="0.25">
      <c r="A83" s="35" t="s">
        <v>44</v>
      </c>
      <c r="B83" s="39">
        <v>200</v>
      </c>
      <c r="C83" s="39">
        <v>139.73677371449787</v>
      </c>
      <c r="D83" s="22">
        <f>C83/B83-1</f>
        <v>-0.30131613142751068</v>
      </c>
      <c r="E83" s="25">
        <f>B83/C83-1</f>
        <v>0.43126247074108415</v>
      </c>
      <c r="F83" s="52">
        <v>214</v>
      </c>
      <c r="G83" s="39"/>
      <c r="H83" s="17">
        <f>IF(G83="",F83/B83-1,G83/B83-1)</f>
        <v>7.0000000000000062E-2</v>
      </c>
      <c r="I83" s="17">
        <f>IF(G83="",B83/F83-1,B83/G83-1)</f>
        <v>-6.5420560747663559E-2</v>
      </c>
      <c r="J83" s="69">
        <v>1.5</v>
      </c>
      <c r="K83" s="50">
        <f>IF(I83&lt;0%,-1,IF(AND(0%&lt;=I83,I83&lt;30%),0,1))</f>
        <v>-1</v>
      </c>
    </row>
    <row r="84" spans="1:11" x14ac:dyDescent="0.25">
      <c r="A84" s="35" t="s">
        <v>51</v>
      </c>
      <c r="B84" s="39">
        <v>170</v>
      </c>
      <c r="C84" s="39">
        <v>128.99108966029331</v>
      </c>
      <c r="D84" s="22">
        <f>C84/B84-1</f>
        <v>-0.24122888435121581</v>
      </c>
      <c r="E84" s="25">
        <f>B84/C84-1</f>
        <v>0.31792048929663586</v>
      </c>
      <c r="F84" s="52">
        <v>187</v>
      </c>
      <c r="G84" s="39"/>
      <c r="H84" s="17">
        <f>IF(G84="",F84/B84-1,G84/B84-1)</f>
        <v>0.10000000000000009</v>
      </c>
      <c r="I84" s="17">
        <f>IF(G84="",B84/F84-1,B84/G84-1)</f>
        <v>-9.0909090909090939E-2</v>
      </c>
      <c r="J84" s="69">
        <v>0.9</v>
      </c>
      <c r="K84" s="50">
        <f>IF(I84&lt;0%,-1,IF(AND(0%&lt;=I84,I84&lt;30%),0,1))</f>
        <v>-1</v>
      </c>
    </row>
    <row r="85" spans="1:11" x14ac:dyDescent="0.25">
      <c r="A85" s="35" t="s">
        <v>39</v>
      </c>
      <c r="B85" s="39">
        <v>222</v>
      </c>
      <c r="C85" s="39">
        <v>143.14089474661222</v>
      </c>
      <c r="D85" s="22">
        <f>C85/B85-1</f>
        <v>-0.35522119483508008</v>
      </c>
      <c r="E85" s="25">
        <f>B85/C85-1</f>
        <v>0.55091946569835293</v>
      </c>
      <c r="F85" s="52">
        <v>246</v>
      </c>
      <c r="G85" s="39"/>
      <c r="H85" s="17">
        <f>IF(G85="",F85/B85-1,G85/B85-1)</f>
        <v>0.10810810810810811</v>
      </c>
      <c r="I85" s="17">
        <f>IF(G85="",B85/F85-1,B85/G85-1)</f>
        <v>-9.7560975609756073E-2</v>
      </c>
      <c r="J85" s="70">
        <v>2</v>
      </c>
      <c r="K85" s="50">
        <f>IF(I85&lt;0%,-1,IF(AND(0%&lt;=I85,I85&lt;30%),0,1))</f>
        <v>-1</v>
      </c>
    </row>
    <row r="86" spans="1:11" x14ac:dyDescent="0.25">
      <c r="A86" s="35" t="s">
        <v>69</v>
      </c>
      <c r="B86" s="39">
        <v>127</v>
      </c>
      <c r="C86" s="39">
        <v>91.36</v>
      </c>
      <c r="D86" s="22">
        <f>C86/B86-1</f>
        <v>-0.28062992125984254</v>
      </c>
      <c r="E86" s="25">
        <f>B86/C86-1</f>
        <v>0.39010507880910694</v>
      </c>
      <c r="F86" s="52">
        <v>141</v>
      </c>
      <c r="G86" s="39"/>
      <c r="H86" s="17">
        <f>IF(G86="",F86/B86-1,G86/B86-1)</f>
        <v>0.11023622047244097</v>
      </c>
      <c r="I86" s="17">
        <f>IF(G86="",B86/F86-1,B86/G86-1)</f>
        <v>-9.9290780141844004E-2</v>
      </c>
      <c r="J86" s="69">
        <v>1.1000000000000001</v>
      </c>
      <c r="K86" s="50">
        <f>IF(I86&lt;0%,-1,IF(AND(0%&lt;=I86,I86&lt;30%),0,1))</f>
        <v>-1</v>
      </c>
    </row>
    <row r="87" spans="1:11" x14ac:dyDescent="0.25">
      <c r="A87" s="35" t="s">
        <v>75</v>
      </c>
      <c r="B87" s="39">
        <v>308</v>
      </c>
      <c r="C87" s="39">
        <v>248.10655281232599</v>
      </c>
      <c r="D87" s="22">
        <f>C87/B87-1</f>
        <v>-0.19445924411582471</v>
      </c>
      <c r="E87" s="25">
        <f>B87/C87-1</f>
        <v>0.24140211739179218</v>
      </c>
      <c r="F87" s="52">
        <v>344</v>
      </c>
      <c r="G87" s="39"/>
      <c r="H87" s="17">
        <f>IF(G87="",F87/B87-1,G87/B87-1)</f>
        <v>0.11688311688311681</v>
      </c>
      <c r="I87" s="17">
        <f>IF(G87="",B87/F87-1,B87/G87-1)</f>
        <v>-0.10465116279069764</v>
      </c>
      <c r="J87" s="69">
        <v>0.2</v>
      </c>
      <c r="K87" s="50">
        <f>IF(I87&lt;0%,-1,IF(AND(0%&lt;=I87,I87&lt;30%),0,1))</f>
        <v>-1</v>
      </c>
    </row>
    <row r="88" spans="1:11" x14ac:dyDescent="0.25">
      <c r="A88" s="35" t="s">
        <v>22</v>
      </c>
      <c r="B88" s="39">
        <v>126</v>
      </c>
      <c r="C88" s="39">
        <v>123.35698032391916</v>
      </c>
      <c r="D88" s="22">
        <f>C88/B88-1</f>
        <v>-2.0976346635562249E-2</v>
      </c>
      <c r="E88" s="25">
        <f>B88/C88-1</f>
        <v>2.1425781250000053E-2</v>
      </c>
      <c r="F88" s="52">
        <v>141</v>
      </c>
      <c r="G88" s="39"/>
      <c r="H88" s="17">
        <f>IF(G88="",F88/B88-1,G88/B88-1)</f>
        <v>0.11904761904761907</v>
      </c>
      <c r="I88" s="17">
        <f>IF(G88="",B88/F88-1,B88/G88-1)</f>
        <v>-0.1063829787234043</v>
      </c>
      <c r="J88" s="69">
        <v>1.6</v>
      </c>
      <c r="K88" s="50">
        <f>IF(I88&lt;0%,-1,IF(AND(0%&lt;=I88,I88&lt;30%),0,1))</f>
        <v>-1</v>
      </c>
    </row>
    <row r="89" spans="1:11" x14ac:dyDescent="0.25">
      <c r="A89" s="35" t="s">
        <v>34</v>
      </c>
      <c r="B89" s="39">
        <v>49</v>
      </c>
      <c r="C89" s="39">
        <v>47.395210692407652</v>
      </c>
      <c r="D89" s="22">
        <f>C89/B89-1</f>
        <v>-3.2750802195762208E-2</v>
      </c>
      <c r="E89" s="25">
        <f>B89/C89-1</f>
        <v>3.3859735702143956E-2</v>
      </c>
      <c r="F89" s="52">
        <v>55</v>
      </c>
      <c r="G89" s="39"/>
      <c r="H89" s="17">
        <f>IF(G89="",F89/B89-1,G89/B89-1)</f>
        <v>0.12244897959183665</v>
      </c>
      <c r="I89" s="17">
        <f>IF(G89="",B89/F89-1,B89/G89-1)</f>
        <v>-0.10909090909090913</v>
      </c>
      <c r="J89" s="69">
        <v>3</v>
      </c>
      <c r="K89" s="50">
        <f>IF(I89&lt;0%,-1,IF(AND(0%&lt;=I89,I89&lt;30%),0,1))</f>
        <v>-1</v>
      </c>
    </row>
    <row r="90" spans="1:11" x14ac:dyDescent="0.25">
      <c r="A90" s="35" t="s">
        <v>24</v>
      </c>
      <c r="B90" s="39">
        <v>151</v>
      </c>
      <c r="C90" s="39">
        <v>118.82309263040655</v>
      </c>
      <c r="D90" s="22">
        <f>C90/B90-1</f>
        <v>-0.21309210178538707</v>
      </c>
      <c r="E90" s="25">
        <f>B90/C90-1</f>
        <v>0.27079675050773311</v>
      </c>
      <c r="F90" s="52">
        <v>170</v>
      </c>
      <c r="G90" s="39"/>
      <c r="H90" s="17">
        <f>IF(G90="",F90/B90-1,G90/B90-1)</f>
        <v>0.1258278145695364</v>
      </c>
      <c r="I90" s="17">
        <f>IF(G90="",B90/F90-1,B90/G90-1)</f>
        <v>-0.11176470588235299</v>
      </c>
      <c r="J90" s="69">
        <v>0.3</v>
      </c>
      <c r="K90" s="50">
        <f>IF(I90&lt;0%,-1,IF(AND(0%&lt;=I90,I90&lt;30%),0,1))</f>
        <v>-1</v>
      </c>
    </row>
    <row r="91" spans="1:11" x14ac:dyDescent="0.25">
      <c r="A91" s="35" t="s">
        <v>38</v>
      </c>
      <c r="B91" s="39">
        <v>54</v>
      </c>
      <c r="C91" s="39">
        <v>31.95500619388207</v>
      </c>
      <c r="D91" s="22">
        <f>C91/B91-1</f>
        <v>-0.40824062603922096</v>
      </c>
      <c r="E91" s="25">
        <f>B91/C91-1</f>
        <v>0.68987606112054345</v>
      </c>
      <c r="F91" s="52">
        <v>61</v>
      </c>
      <c r="G91" s="39"/>
      <c r="H91" s="17">
        <f>IF(G91="",F91/B91-1,G91/B91-1)</f>
        <v>0.12962962962962954</v>
      </c>
      <c r="I91" s="17">
        <f>IF(G91="",B91/F91-1,B91/G91-1)</f>
        <v>-0.11475409836065575</v>
      </c>
      <c r="J91" s="70" t="s">
        <v>101</v>
      </c>
      <c r="K91" s="50">
        <f>IF(I91&lt;0%,-1,IF(AND(0%&lt;=I91,I91&lt;30%),0,1))</f>
        <v>-1</v>
      </c>
    </row>
    <row r="92" spans="1:11" x14ac:dyDescent="0.25">
      <c r="A92" s="35" t="s">
        <v>65</v>
      </c>
      <c r="B92" s="39">
        <v>76</v>
      </c>
      <c r="C92" s="39">
        <v>62.896816827193014</v>
      </c>
      <c r="D92" s="22">
        <f>C92/B92-1</f>
        <v>-0.17241030490535503</v>
      </c>
      <c r="E92" s="25">
        <f>B92/C92-1</f>
        <v>0.20832824034334774</v>
      </c>
      <c r="F92" s="52">
        <v>86</v>
      </c>
      <c r="G92" s="39"/>
      <c r="H92" s="17">
        <f>IF(G92="",F92/B92-1,G92/B92-1)</f>
        <v>0.13157894736842102</v>
      </c>
      <c r="I92" s="17">
        <f>IF(G92="",B92/F92-1,B92/G92-1)</f>
        <v>-0.11627906976744184</v>
      </c>
      <c r="J92" s="69">
        <v>2.2999999999999998</v>
      </c>
      <c r="K92" s="50">
        <f>IF(I92&lt;0%,-1,IF(AND(0%&lt;=I92,I92&lt;30%),0,1))</f>
        <v>-1</v>
      </c>
    </row>
    <row r="93" spans="1:11" x14ac:dyDescent="0.25">
      <c r="A93" s="35" t="s">
        <v>48</v>
      </c>
      <c r="B93" s="39">
        <v>152</v>
      </c>
      <c r="C93" s="39">
        <v>112.38165955077038</v>
      </c>
      <c r="D93" s="22">
        <f>C93/B93-1</f>
        <v>-0.26064697663966852</v>
      </c>
      <c r="E93" s="25">
        <f>B93/C93-1</f>
        <v>0.35253386190948133</v>
      </c>
      <c r="F93" s="52">
        <v>175</v>
      </c>
      <c r="G93" s="39"/>
      <c r="H93" s="17">
        <f>IF(G93="",F93/B93-1,G93/B93-1)</f>
        <v>0.15131578947368429</v>
      </c>
      <c r="I93" s="17">
        <f>IF(G93="",B93/F93-1,B93/G93-1)</f>
        <v>-0.13142857142857145</v>
      </c>
      <c r="J93" s="69">
        <v>1.2</v>
      </c>
      <c r="K93" s="50">
        <f>IF(I93&lt;0%,-1,IF(AND(0%&lt;=I93,I93&lt;30%),0,1))</f>
        <v>-1</v>
      </c>
    </row>
    <row r="94" spans="1:11" x14ac:dyDescent="0.25">
      <c r="A94" s="35" t="s">
        <v>18</v>
      </c>
      <c r="B94" s="39">
        <v>70</v>
      </c>
      <c r="C94" s="39">
        <v>59.91275292370522</v>
      </c>
      <c r="D94" s="22">
        <f>C94/B94-1</f>
        <v>-0.14410352966135398</v>
      </c>
      <c r="E94" s="25">
        <f>B94/C94-1</f>
        <v>0.16836560805577072</v>
      </c>
      <c r="F94" s="52">
        <v>82</v>
      </c>
      <c r="G94" s="39"/>
      <c r="H94" s="17">
        <f>IF(G94="",F94/B94-1,G94/B94-1)</f>
        <v>0.17142857142857149</v>
      </c>
      <c r="I94" s="17">
        <f>IF(G94="",B94/F94-1,B94/G94-1)</f>
        <v>-0.14634146341463417</v>
      </c>
      <c r="J94" s="69">
        <v>1</v>
      </c>
      <c r="K94" s="50">
        <f>IF(I94&lt;0%,-1,IF(AND(0%&lt;=I94,I94&lt;30%),0,1))</f>
        <v>-1</v>
      </c>
    </row>
    <row r="95" spans="1:11" x14ac:dyDescent="0.25">
      <c r="A95" s="35" t="s">
        <v>73</v>
      </c>
      <c r="B95" s="39">
        <v>56</v>
      </c>
      <c r="C95" s="39">
        <v>44.496487119437937</v>
      </c>
      <c r="D95" s="22">
        <f>C95/B95-1</f>
        <v>-0.20541987286717966</v>
      </c>
      <c r="E95" s="25">
        <f>B95/C95-1</f>
        <v>0.25852631578947372</v>
      </c>
      <c r="F95" s="52">
        <v>66</v>
      </c>
      <c r="G95" s="39"/>
      <c r="H95" s="17">
        <f>IF(G95="",F95/B95-1,G95/B95-1)</f>
        <v>0.1785714285714286</v>
      </c>
      <c r="I95" s="17">
        <f>IF(G95="",B95/F95-1,B95/G95-1)</f>
        <v>-0.15151515151515149</v>
      </c>
      <c r="J95" s="69">
        <v>1.8</v>
      </c>
      <c r="K95" s="50">
        <f>IF(I95&lt;0%,-1,IF(AND(0%&lt;=I95,I95&lt;30%),0,1))</f>
        <v>-1</v>
      </c>
    </row>
    <row r="96" spans="1:11" x14ac:dyDescent="0.25">
      <c r="A96" s="35" t="s">
        <v>29</v>
      </c>
      <c r="B96" s="39">
        <v>481</v>
      </c>
      <c r="C96" s="39">
        <v>457.4</v>
      </c>
      <c r="D96" s="22">
        <f>C96/B96-1</f>
        <v>-4.9064449064449067E-2</v>
      </c>
      <c r="E96" s="25">
        <f>B96/C96-1</f>
        <v>5.1595977262789638E-2</v>
      </c>
      <c r="F96" s="52">
        <v>704</v>
      </c>
      <c r="G96" s="39"/>
      <c r="H96" s="17">
        <f>IF(G96="",F96/B96-1,G96/B96-1)</f>
        <v>0.4636174636174637</v>
      </c>
      <c r="I96" s="17">
        <f>IF(G96="",B96/F96-1,B96/G96-1)</f>
        <v>-0.31676136363636365</v>
      </c>
      <c r="J96" s="70" t="s">
        <v>120</v>
      </c>
      <c r="K96" s="50">
        <f>IF(I96&lt;0%,-1,IF(AND(0%&lt;=I96,I96&lt;30%),0,1))</f>
        <v>-1</v>
      </c>
    </row>
    <row r="97" spans="1:11" ht="15.75" thickBot="1" x14ac:dyDescent="0.3">
      <c r="A97" s="36" t="s">
        <v>7</v>
      </c>
      <c r="B97" s="40">
        <v>1986</v>
      </c>
      <c r="C97" s="40">
        <v>1722.7770558752552</v>
      </c>
      <c r="D97" s="23">
        <f>C97/B97-1</f>
        <v>-0.1325392467899017</v>
      </c>
      <c r="E97" s="46">
        <f>B97/C97-1</f>
        <v>0.15278990582505436</v>
      </c>
      <c r="F97" s="68">
        <v>2912</v>
      </c>
      <c r="G97" s="40"/>
      <c r="H97" s="14">
        <f>IF(G97="",F97/B97-1,G97/B97-1)</f>
        <v>0.46626384692849943</v>
      </c>
      <c r="I97" s="14">
        <f>IF(G97="",B97/F97-1,B97/G97-1)</f>
        <v>-0.31799450549450547</v>
      </c>
      <c r="J97" s="71" t="s">
        <v>120</v>
      </c>
      <c r="K97" s="50">
        <f>IF(I97&lt;0%,-1,IF(AND(0%&lt;=I97,I97&lt;30%),0,1))</f>
        <v>-1</v>
      </c>
    </row>
    <row r="100" spans="1:11" x14ac:dyDescent="0.25">
      <c r="A100"/>
      <c r="B100"/>
      <c r="C100"/>
      <c r="D100"/>
      <c r="E100"/>
      <c r="F100"/>
      <c r="G100"/>
      <c r="H100"/>
      <c r="I100"/>
      <c r="J100"/>
    </row>
    <row r="101" spans="1:11" x14ac:dyDescent="0.25">
      <c r="A101" t="s">
        <v>87</v>
      </c>
      <c r="B101"/>
      <c r="C101"/>
      <c r="D101"/>
      <c r="E101"/>
      <c r="F101"/>
      <c r="G101"/>
      <c r="H101"/>
      <c r="I101"/>
      <c r="J101"/>
    </row>
    <row r="102" spans="1:11" x14ac:dyDescent="0.25">
      <c r="A102" s="18" t="s">
        <v>96</v>
      </c>
      <c r="B102"/>
      <c r="C102"/>
      <c r="D102"/>
      <c r="E102"/>
      <c r="F102"/>
      <c r="G102"/>
      <c r="H102"/>
      <c r="I102"/>
      <c r="J102"/>
    </row>
    <row r="103" spans="1:11" x14ac:dyDescent="0.25">
      <c r="A103" t="s">
        <v>99</v>
      </c>
      <c r="B103"/>
      <c r="C103"/>
      <c r="D103"/>
      <c r="E103"/>
      <c r="F103"/>
      <c r="G103"/>
      <c r="H103"/>
      <c r="I103"/>
      <c r="J103"/>
    </row>
    <row r="104" spans="1:11" x14ac:dyDescent="0.25">
      <c r="A104" t="s">
        <v>98</v>
      </c>
      <c r="B104"/>
      <c r="C104"/>
      <c r="D104"/>
      <c r="E104"/>
      <c r="F104"/>
      <c r="G104"/>
      <c r="H104"/>
      <c r="I104"/>
      <c r="J104"/>
    </row>
    <row r="105" spans="1:11" x14ac:dyDescent="0.25">
      <c r="A105" s="18" t="s">
        <v>85</v>
      </c>
      <c r="B105"/>
      <c r="C105"/>
      <c r="D105"/>
      <c r="E105"/>
      <c r="F105"/>
      <c r="G105"/>
      <c r="H105"/>
      <c r="I105"/>
      <c r="J105"/>
    </row>
    <row r="106" spans="1:11" x14ac:dyDescent="0.25">
      <c r="A106" t="s">
        <v>88</v>
      </c>
      <c r="B106"/>
      <c r="C106"/>
      <c r="D106"/>
      <c r="E106"/>
      <c r="F106"/>
      <c r="G106"/>
      <c r="H106"/>
      <c r="I106"/>
      <c r="J106"/>
    </row>
    <row r="107" spans="1:11" x14ac:dyDescent="0.25">
      <c r="A107" t="s">
        <v>89</v>
      </c>
      <c r="B107"/>
      <c r="C107"/>
      <c r="D107"/>
      <c r="E107"/>
      <c r="F107"/>
      <c r="G107"/>
      <c r="H107"/>
      <c r="I107"/>
      <c r="J107"/>
    </row>
    <row r="109" spans="1:11" x14ac:dyDescent="0.25">
      <c r="A109" s="24" t="s">
        <v>102</v>
      </c>
    </row>
    <row r="110" spans="1:11" x14ac:dyDescent="0.25">
      <c r="A110" s="11" t="s">
        <v>103</v>
      </c>
    </row>
    <row r="111" spans="1:11" x14ac:dyDescent="0.25">
      <c r="A111" s="11" t="s">
        <v>104</v>
      </c>
    </row>
    <row r="112" spans="1:11" x14ac:dyDescent="0.25">
      <c r="A112" s="11" t="s">
        <v>112</v>
      </c>
    </row>
  </sheetData>
  <sortState ref="A9:I10">
    <sortCondition descending="1" ref="I9:I10"/>
  </sortState>
  <mergeCells count="8">
    <mergeCell ref="F5:J6"/>
    <mergeCell ref="B5:E6"/>
    <mergeCell ref="F7:F8"/>
    <mergeCell ref="F12:F13"/>
    <mergeCell ref="B7:B8"/>
    <mergeCell ref="B12:B13"/>
    <mergeCell ref="C7:C8"/>
    <mergeCell ref="C12:C13"/>
  </mergeCells>
  <conditionalFormatting sqref="E97 E9:E11 I9:J11 I14:J97">
    <cfRule type="cellIs" dxfId="248" priority="70" operator="lessThan">
      <formula>0</formula>
    </cfRule>
    <cfRule type="expression" dxfId="247" priority="71" stopIfTrue="1">
      <formula>$I:$I&lt;0%</formula>
    </cfRule>
  </conditionalFormatting>
  <conditionalFormatting sqref="E14">
    <cfRule type="expression" dxfId="246" priority="69">
      <formula>$E:$E&lt;0%</formula>
    </cfRule>
  </conditionalFormatting>
  <conditionalFormatting sqref="A14:J97">
    <cfRule type="expression" dxfId="245" priority="59">
      <formula>MOD(ROW(),2)</formula>
    </cfRule>
  </conditionalFormatting>
  <conditionalFormatting sqref="D9:D10 D14:D97">
    <cfRule type="expression" dxfId="244" priority="57">
      <formula>$D:$D&gt;0.01</formula>
    </cfRule>
  </conditionalFormatting>
  <conditionalFormatting sqref="D97">
    <cfRule type="expression" dxfId="243" priority="56">
      <formula>$D$97&gt;0</formula>
    </cfRule>
  </conditionalFormatting>
  <conditionalFormatting sqref="H94:H97">
    <cfRule type="cellIs" dxfId="242" priority="47" operator="lessThan">
      <formula>0</formula>
    </cfRule>
    <cfRule type="expression" dxfId="241" priority="48" stopIfTrue="1">
      <formula>$I:$I&lt;0%</formula>
    </cfRule>
  </conditionalFormatting>
  <conditionalFormatting sqref="H92">
    <cfRule type="cellIs" dxfId="240" priority="45" operator="lessThan">
      <formula>0</formula>
    </cfRule>
    <cfRule type="expression" dxfId="239" priority="46" stopIfTrue="1">
      <formula>$I:$I&lt;0%</formula>
    </cfRule>
  </conditionalFormatting>
  <conditionalFormatting sqref="H94">
    <cfRule type="cellIs" dxfId="238" priority="43" operator="lessThan">
      <formula>0</formula>
    </cfRule>
    <cfRule type="expression" dxfId="237" priority="44" stopIfTrue="1">
      <formula>$I:$I&lt;0%</formula>
    </cfRule>
  </conditionalFormatting>
  <conditionalFormatting sqref="H91">
    <cfRule type="cellIs" dxfId="236" priority="41" operator="lessThan">
      <formula>0</formula>
    </cfRule>
    <cfRule type="expression" dxfId="235" priority="42" stopIfTrue="1">
      <formula>$I:$I&lt;0%</formula>
    </cfRule>
  </conditionalFormatting>
  <conditionalFormatting sqref="H86">
    <cfRule type="cellIs" dxfId="234" priority="39" operator="lessThan">
      <formula>0</formula>
    </cfRule>
    <cfRule type="expression" dxfId="233" priority="40" stopIfTrue="1">
      <formula>$I:$I&lt;0%</formula>
    </cfRule>
  </conditionalFormatting>
  <conditionalFormatting sqref="H87:H91">
    <cfRule type="cellIs" dxfId="232" priority="37" operator="lessThan">
      <formula>0</formula>
    </cfRule>
    <cfRule type="expression" dxfId="231" priority="38" stopIfTrue="1">
      <formula>$I:$I&lt;0%</formula>
    </cfRule>
  </conditionalFormatting>
  <conditionalFormatting sqref="H87:H89">
    <cfRule type="cellIs" dxfId="230" priority="33" operator="lessThan">
      <formula>0</formula>
    </cfRule>
    <cfRule type="expression" dxfId="229" priority="34" stopIfTrue="1">
      <formula>$I:$I&lt;0%</formula>
    </cfRule>
  </conditionalFormatting>
  <conditionalFormatting sqref="H95">
    <cfRule type="cellIs" dxfId="228" priority="31" operator="lessThan">
      <formula>0</formula>
    </cfRule>
    <cfRule type="expression" dxfId="227" priority="32" stopIfTrue="1">
      <formula>$I:$I&lt;0%</formula>
    </cfRule>
  </conditionalFormatting>
  <conditionalFormatting sqref="H86">
    <cfRule type="cellIs" dxfId="226" priority="29" operator="lessThan">
      <formula>0</formula>
    </cfRule>
    <cfRule type="expression" dxfId="225" priority="30" stopIfTrue="1">
      <formula>$I:$I&lt;0%</formula>
    </cfRule>
  </conditionalFormatting>
  <conditionalFormatting sqref="H86">
    <cfRule type="cellIs" dxfId="224" priority="27" operator="lessThan">
      <formula>0</formula>
    </cfRule>
    <cfRule type="expression" dxfId="223" priority="28" stopIfTrue="1">
      <formula>$I:$I&lt;0%</formula>
    </cfRule>
  </conditionalFormatting>
  <conditionalFormatting sqref="D95">
    <cfRule type="expression" dxfId="222" priority="26">
      <formula>$D$95&gt;0</formula>
    </cfRule>
  </conditionalFormatting>
  <conditionalFormatting sqref="K14:K97">
    <cfRule type="iconSet" priority="21">
      <iconSet showValue="0">
        <cfvo type="percent" val="0"/>
        <cfvo type="percent" val="33"/>
        <cfvo type="percent" val="67"/>
      </iconSet>
    </cfRule>
    <cfRule type="iconSet" priority="22">
      <iconSet iconSet="3TrafficLights2">
        <cfvo type="percent" val="0"/>
        <cfvo type="percent" val="33"/>
        <cfvo type="percent" val="67"/>
      </iconSet>
    </cfRule>
  </conditionalFormatting>
  <conditionalFormatting sqref="L14:L16">
    <cfRule type="iconSet" priority="14">
      <iconSet iconSet="4TrafficLights">
        <cfvo type="percent" val="0"/>
        <cfvo type="percent" val="25"/>
        <cfvo type="percent" val="50"/>
        <cfvo type="percent" val="75"/>
      </iconSet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H87">
    <cfRule type="cellIs" dxfId="221" priority="11" operator="lessThan">
      <formula>0</formula>
    </cfRule>
    <cfRule type="expression" dxfId="220" priority="12" stopIfTrue="1">
      <formula>$I:$I&lt;0%</formula>
    </cfRule>
  </conditionalFormatting>
  <conditionalFormatting sqref="H87">
    <cfRule type="cellIs" dxfId="219" priority="9" operator="lessThan">
      <formula>0</formula>
    </cfRule>
    <cfRule type="expression" dxfId="218" priority="10" stopIfTrue="1">
      <formula>$I:$I&lt;0%</formula>
    </cfRule>
  </conditionalFormatting>
  <conditionalFormatting sqref="H87">
    <cfRule type="cellIs" dxfId="217" priority="7" operator="lessThan">
      <formula>0</formula>
    </cfRule>
    <cfRule type="expression" dxfId="216" priority="8" stopIfTrue="1">
      <formula>$I:$I&lt;0%</formula>
    </cfRule>
  </conditionalFormatting>
  <conditionalFormatting sqref="I14:I9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{B3A7A1B6-C70D-4E17-9DEE-A2A584AC69F7}</x14:id>
        </ext>
      </extLst>
    </cfRule>
  </conditionalFormatting>
  <conditionalFormatting sqref="H14:H9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{CD407718-FC6B-42EA-9FE7-CEEE751F0297}</x14:id>
        </ext>
      </extLst>
    </cfRule>
  </conditionalFormatting>
  <conditionalFormatting sqref="H76:H77">
    <cfRule type="cellIs" dxfId="205" priority="2" operator="lessThan">
      <formula>0</formula>
    </cfRule>
    <cfRule type="expression" dxfId="204" priority="3" stopIfTrue="1">
      <formula>$I:$I&lt;0%</formula>
    </cfRule>
  </conditionalFormatting>
  <conditionalFormatting sqref="H76:H7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{733A1947-29D8-4C02-ADCC-062B76BC9CD4}</x14:id>
        </ext>
      </extLst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7A1B6-C70D-4E17-9DEE-A2A584AC69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I14:I97</xm:sqref>
        </x14:conditionalFormatting>
        <x14:conditionalFormatting xmlns:xm="http://schemas.microsoft.com/office/excel/2006/main">
          <x14:cfRule type="dataBar" id="{CD407718-FC6B-42EA-9FE7-CEEE751F02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H14:H97</xm:sqref>
        </x14:conditionalFormatting>
        <x14:conditionalFormatting xmlns:xm="http://schemas.microsoft.com/office/excel/2006/main">
          <x14:cfRule type="dataBar" id="{733A1947-29D8-4C02-ADCC-062B76BC9C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H76:H77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I10" sqref="I10"/>
    </sheetView>
  </sheetViews>
  <sheetFormatPr baseColWidth="10" defaultRowHeight="15" x14ac:dyDescent="0.25"/>
  <cols>
    <col min="1" max="1" width="34.28515625" customWidth="1"/>
    <col min="3" max="3" width="15.28515625" bestFit="1" customWidth="1"/>
    <col min="4" max="4" width="17" bestFit="1" customWidth="1"/>
  </cols>
  <sheetData>
    <row r="1" spans="1:4" ht="36" x14ac:dyDescent="0.55000000000000004">
      <c r="A1" s="9" t="s">
        <v>115</v>
      </c>
      <c r="B1" s="2"/>
      <c r="C1" s="2"/>
    </row>
    <row r="2" spans="1:4" x14ac:dyDescent="0.25">
      <c r="B2" s="2"/>
      <c r="C2" s="2"/>
      <c r="D2" s="28"/>
    </row>
    <row r="3" spans="1:4" x14ac:dyDescent="0.25">
      <c r="B3" s="2"/>
      <c r="C3" s="2"/>
      <c r="D3" s="28"/>
    </row>
    <row r="4" spans="1:4" ht="24" thickBot="1" x14ac:dyDescent="0.4">
      <c r="B4" s="42" t="s">
        <v>106</v>
      </c>
      <c r="C4" s="42"/>
      <c r="D4" s="42"/>
    </row>
    <row r="5" spans="1:4" x14ac:dyDescent="0.25">
      <c r="B5" s="54" t="s">
        <v>123</v>
      </c>
      <c r="C5" s="55"/>
      <c r="D5" s="56"/>
    </row>
    <row r="6" spans="1:4" ht="15.75" thickBot="1" x14ac:dyDescent="0.3">
      <c r="B6" s="57"/>
      <c r="C6" s="58"/>
      <c r="D6" s="59"/>
    </row>
    <row r="7" spans="1:4" x14ac:dyDescent="0.25">
      <c r="A7" s="33"/>
      <c r="B7" s="60" t="s">
        <v>121</v>
      </c>
      <c r="C7" s="30" t="s">
        <v>90</v>
      </c>
      <c r="D7" s="16" t="s">
        <v>113</v>
      </c>
    </row>
    <row r="8" spans="1:4" ht="16.5" thickBot="1" x14ac:dyDescent="0.3">
      <c r="A8" s="34" t="s">
        <v>94</v>
      </c>
      <c r="B8" s="61"/>
      <c r="C8" s="31" t="s">
        <v>91</v>
      </c>
      <c r="D8" s="3" t="s">
        <v>114</v>
      </c>
    </row>
    <row r="9" spans="1:4" x14ac:dyDescent="0.25">
      <c r="A9" s="35" t="s">
        <v>93</v>
      </c>
      <c r="B9" s="43">
        <v>28600</v>
      </c>
      <c r="C9" s="5"/>
      <c r="D9" s="7">
        <f>IF(C9="",B9/18850-1,C9/18850-1)</f>
        <v>0.51724137931034475</v>
      </c>
    </row>
    <row r="10" spans="1:4" x14ac:dyDescent="0.25">
      <c r="A10" s="35" t="s">
        <v>92</v>
      </c>
      <c r="B10" s="43">
        <v>13200</v>
      </c>
      <c r="C10" s="5"/>
      <c r="D10" s="7">
        <f>IF(C10="",B10/8750-1,C10/8750-1)</f>
        <v>0.50857142857142867</v>
      </c>
    </row>
    <row r="11" spans="1:4" ht="15.75" thickBot="1" x14ac:dyDescent="0.3">
      <c r="A11" s="36"/>
      <c r="B11" s="44"/>
      <c r="C11" s="6"/>
      <c r="D11" s="8"/>
    </row>
    <row r="12" spans="1:4" x14ac:dyDescent="0.25">
      <c r="A12" s="37"/>
      <c r="B12" s="60" t="s">
        <v>122</v>
      </c>
      <c r="C12" s="32" t="s">
        <v>90</v>
      </c>
      <c r="D12" s="13" t="s">
        <v>116</v>
      </c>
    </row>
    <row r="13" spans="1:4" ht="15.75" thickBot="1" x14ac:dyDescent="0.3">
      <c r="A13" s="38" t="s">
        <v>84</v>
      </c>
      <c r="B13" s="61"/>
      <c r="C13" s="31" t="s">
        <v>91</v>
      </c>
      <c r="D13" s="3" t="s">
        <v>114</v>
      </c>
    </row>
    <row r="14" spans="1:4" x14ac:dyDescent="0.25">
      <c r="A14" s="35" t="s">
        <v>60</v>
      </c>
      <c r="B14" s="52">
        <v>179</v>
      </c>
      <c r="C14" s="39"/>
      <c r="D14" s="7">
        <f>IF(C14="",B14/93-1,C14/93-1)</f>
        <v>0.92473118279569899</v>
      </c>
    </row>
    <row r="15" spans="1:4" x14ac:dyDescent="0.25">
      <c r="A15" s="35" t="s">
        <v>38</v>
      </c>
      <c r="B15" s="52">
        <v>61</v>
      </c>
      <c r="C15" s="39"/>
      <c r="D15" s="7">
        <f>IF(C15="",B15/32-1,C15/32-1)</f>
        <v>0.90625</v>
      </c>
    </row>
    <row r="16" spans="1:4" x14ac:dyDescent="0.25">
      <c r="A16" s="35" t="s">
        <v>39</v>
      </c>
      <c r="B16" s="52">
        <v>246</v>
      </c>
      <c r="C16" s="39"/>
      <c r="D16" s="7">
        <f>IF(C16="",B16/143-1,C16/143-1)</f>
        <v>0.7202797202797202</v>
      </c>
    </row>
    <row r="17" spans="1:4" x14ac:dyDescent="0.25">
      <c r="A17" s="35" t="s">
        <v>7</v>
      </c>
      <c r="B17" s="52">
        <v>2912</v>
      </c>
      <c r="C17" s="39"/>
      <c r="D17" s="7">
        <f>IF(C17="",B17/1723-1,C17/1723-1)</f>
        <v>0.69007544979686597</v>
      </c>
    </row>
    <row r="18" spans="1:4" x14ac:dyDescent="0.25">
      <c r="A18" s="35" t="s">
        <v>15</v>
      </c>
      <c r="B18" s="52">
        <v>19</v>
      </c>
      <c r="C18" s="39"/>
      <c r="D18" s="7">
        <f>IF(C18="",B18/12-1,C18/12-1)</f>
        <v>0.58333333333333326</v>
      </c>
    </row>
    <row r="19" spans="1:4" x14ac:dyDescent="0.25">
      <c r="A19" s="35" t="s">
        <v>27</v>
      </c>
      <c r="B19" s="52">
        <v>60</v>
      </c>
      <c r="C19" s="39"/>
      <c r="D19" s="7">
        <f>IF(C19="",B19/38-1,C19/38-1)</f>
        <v>0.57894736842105265</v>
      </c>
    </row>
    <row r="20" spans="1:4" x14ac:dyDescent="0.25">
      <c r="A20" s="35" t="s">
        <v>48</v>
      </c>
      <c r="B20" s="52">
        <v>175</v>
      </c>
      <c r="C20" s="39"/>
      <c r="D20" s="7">
        <f>IF(C20="",B20/112-1,C20/112-1)</f>
        <v>0.5625</v>
      </c>
    </row>
    <row r="21" spans="1:4" x14ac:dyDescent="0.25">
      <c r="A21" s="35" t="s">
        <v>54</v>
      </c>
      <c r="B21" s="52">
        <v>95</v>
      </c>
      <c r="C21" s="39"/>
      <c r="D21" s="7">
        <f>IF(C21="",B21/61-1,C21/61-1)</f>
        <v>0.55737704918032782</v>
      </c>
    </row>
    <row r="22" spans="1:4" x14ac:dyDescent="0.25">
      <c r="A22" s="35" t="s">
        <v>69</v>
      </c>
      <c r="B22" s="52">
        <v>141</v>
      </c>
      <c r="C22" s="39"/>
      <c r="D22" s="7">
        <f>IF(C22="",B22/91-1,C22/91-1)</f>
        <v>0.5494505494505495</v>
      </c>
    </row>
    <row r="23" spans="1:4" x14ac:dyDescent="0.25">
      <c r="A23" s="35" t="s">
        <v>83</v>
      </c>
      <c r="B23" s="73">
        <v>82</v>
      </c>
      <c r="C23" s="39"/>
      <c r="D23" s="7">
        <f>IF(C23="",B23/53-1,C23/53-1)</f>
        <v>0.54716981132075482</v>
      </c>
    </row>
    <row r="24" spans="1:4" x14ac:dyDescent="0.25">
      <c r="A24" s="35" t="s">
        <v>47</v>
      </c>
      <c r="B24" s="52">
        <v>298</v>
      </c>
      <c r="C24" s="39"/>
      <c r="D24" s="7">
        <f>IF(C24="",B24/193-1,C24/193-1)</f>
        <v>0.54404145077720201</v>
      </c>
    </row>
    <row r="25" spans="1:4" x14ac:dyDescent="0.25">
      <c r="A25" s="35" t="s">
        <v>29</v>
      </c>
      <c r="B25" s="52">
        <v>704</v>
      </c>
      <c r="C25" s="39"/>
      <c r="D25" s="7">
        <f>IF(C25="",B25/457-1,C25/457-1)</f>
        <v>0.54048140043763682</v>
      </c>
    </row>
    <row r="26" spans="1:4" x14ac:dyDescent="0.25">
      <c r="A26" s="35" t="s">
        <v>74</v>
      </c>
      <c r="B26" s="52">
        <v>49</v>
      </c>
      <c r="C26" s="39"/>
      <c r="D26" s="7">
        <f>IF(C26="",B26/32-1,C26/32-1)</f>
        <v>0.53125</v>
      </c>
    </row>
    <row r="27" spans="1:4" x14ac:dyDescent="0.25">
      <c r="A27" s="35" t="s">
        <v>44</v>
      </c>
      <c r="B27" s="52">
        <v>214</v>
      </c>
      <c r="C27" s="39"/>
      <c r="D27" s="7">
        <f>IF(C27="",B27/140-1,C27/140-1)</f>
        <v>0.52857142857142847</v>
      </c>
    </row>
    <row r="28" spans="1:4" x14ac:dyDescent="0.25">
      <c r="A28" s="35" t="s">
        <v>73</v>
      </c>
      <c r="B28" s="52">
        <v>66</v>
      </c>
      <c r="C28" s="39"/>
      <c r="D28" s="7">
        <f>IF(C28="",B28/44-1,C28/44-1)</f>
        <v>0.5</v>
      </c>
    </row>
    <row r="29" spans="1:4" x14ac:dyDescent="0.25">
      <c r="A29" s="35" t="s">
        <v>82</v>
      </c>
      <c r="B29" s="52">
        <v>12</v>
      </c>
      <c r="C29" s="39"/>
      <c r="D29" s="7">
        <f>IF(C29="",B29/8-1,C29/8-1)</f>
        <v>0.5</v>
      </c>
    </row>
    <row r="30" spans="1:4" x14ac:dyDescent="0.25">
      <c r="A30" s="35" t="s">
        <v>41</v>
      </c>
      <c r="B30" s="52">
        <v>169</v>
      </c>
      <c r="C30" s="39"/>
      <c r="D30" s="7">
        <f>IF(C30="",B30/113-1,C30/113-1)</f>
        <v>0.49557522123893816</v>
      </c>
    </row>
    <row r="31" spans="1:4" x14ac:dyDescent="0.25">
      <c r="A31" s="35" t="s">
        <v>51</v>
      </c>
      <c r="B31" s="52">
        <v>187</v>
      </c>
      <c r="C31" s="39"/>
      <c r="D31" s="7">
        <f>IF(C31="",B31/129-1,C31/129-1)</f>
        <v>0.4496124031007751</v>
      </c>
    </row>
    <row r="32" spans="1:4" x14ac:dyDescent="0.25">
      <c r="A32" s="35" t="s">
        <v>23</v>
      </c>
      <c r="B32" s="52">
        <v>42</v>
      </c>
      <c r="C32" s="39"/>
      <c r="D32" s="7">
        <f>IF(C32="",B32/29-1,C32/29-1)</f>
        <v>0.44827586206896552</v>
      </c>
    </row>
    <row r="33" spans="1:4" x14ac:dyDescent="0.25">
      <c r="A33" s="35" t="s">
        <v>64</v>
      </c>
      <c r="B33" s="52">
        <v>13</v>
      </c>
      <c r="C33" s="39"/>
      <c r="D33" s="7">
        <f>IF(C33="",B33/9-1,C33/9-1)</f>
        <v>0.44444444444444442</v>
      </c>
    </row>
    <row r="34" spans="1:4" x14ac:dyDescent="0.25">
      <c r="A34" s="35" t="s">
        <v>5</v>
      </c>
      <c r="B34" s="52">
        <v>1386</v>
      </c>
      <c r="C34" s="39"/>
      <c r="D34" s="7">
        <f>IF(C34="",B34/960-1,C34/960-1)</f>
        <v>0.44375000000000009</v>
      </c>
    </row>
    <row r="35" spans="1:4" x14ac:dyDescent="0.25">
      <c r="A35" s="35" t="s">
        <v>80</v>
      </c>
      <c r="B35" s="52">
        <v>113</v>
      </c>
      <c r="C35" s="39"/>
      <c r="D35" s="7">
        <f>IF(C35="",B35/79-1,C35/79-1)</f>
        <v>0.43037974683544311</v>
      </c>
    </row>
    <row r="36" spans="1:4" x14ac:dyDescent="0.25">
      <c r="A36" s="35" t="s">
        <v>24</v>
      </c>
      <c r="B36" s="52">
        <v>170</v>
      </c>
      <c r="C36" s="39"/>
      <c r="D36" s="7">
        <f>IF(C36="",B36/119-1,C36/119-1)</f>
        <v>0.4285714285714286</v>
      </c>
    </row>
    <row r="37" spans="1:4" x14ac:dyDescent="0.25">
      <c r="A37" s="35" t="s">
        <v>53</v>
      </c>
      <c r="B37" s="52">
        <v>237</v>
      </c>
      <c r="C37" s="39"/>
      <c r="D37" s="7">
        <f>IF(C37="",B37/170-1,C37/170-1)</f>
        <v>0.39411764705882346</v>
      </c>
    </row>
    <row r="38" spans="1:4" x14ac:dyDescent="0.25">
      <c r="A38" s="35" t="s">
        <v>75</v>
      </c>
      <c r="B38" s="52">
        <v>344</v>
      </c>
      <c r="C38" s="39"/>
      <c r="D38" s="7">
        <f>IF(C38="",B38/248-1,C38/248-1)</f>
        <v>0.38709677419354849</v>
      </c>
    </row>
    <row r="39" spans="1:4" x14ac:dyDescent="0.25">
      <c r="A39" s="35" t="s">
        <v>72</v>
      </c>
      <c r="B39" s="52">
        <v>160</v>
      </c>
      <c r="C39" s="39"/>
      <c r="D39" s="7">
        <f>IF(C39="",B39/117-1,C39/117-1)</f>
        <v>0.36752136752136755</v>
      </c>
    </row>
    <row r="40" spans="1:4" x14ac:dyDescent="0.25">
      <c r="A40" s="35" t="s">
        <v>18</v>
      </c>
      <c r="B40" s="52">
        <v>82</v>
      </c>
      <c r="C40" s="39"/>
      <c r="D40" s="7">
        <f>IF(C40="",B40/60-1,C40/60-1)</f>
        <v>0.3666666666666667</v>
      </c>
    </row>
    <row r="41" spans="1:4" x14ac:dyDescent="0.25">
      <c r="A41" s="35" t="s">
        <v>65</v>
      </c>
      <c r="B41" s="52">
        <v>86</v>
      </c>
      <c r="C41" s="39"/>
      <c r="D41" s="7">
        <f>IF(C41="",B41/63-1,C41/63-1)</f>
        <v>0.36507936507936511</v>
      </c>
    </row>
    <row r="42" spans="1:4" x14ac:dyDescent="0.25">
      <c r="A42" s="35" t="s">
        <v>0</v>
      </c>
      <c r="B42" s="52">
        <v>50</v>
      </c>
      <c r="C42" s="39"/>
      <c r="D42" s="7">
        <f>IF(C42="",B42/37-1,C42/37-1)</f>
        <v>0.35135135135135132</v>
      </c>
    </row>
    <row r="43" spans="1:4" x14ac:dyDescent="0.25">
      <c r="A43" s="35" t="s">
        <v>71</v>
      </c>
      <c r="B43" s="52">
        <v>70</v>
      </c>
      <c r="C43" s="39"/>
      <c r="D43" s="7">
        <f>IF(C43="",B43/52-1,C43/52-1)</f>
        <v>0.34615384615384626</v>
      </c>
    </row>
    <row r="44" spans="1:4" x14ac:dyDescent="0.25">
      <c r="A44" s="35" t="s">
        <v>26</v>
      </c>
      <c r="B44" s="52">
        <v>168</v>
      </c>
      <c r="C44" s="39"/>
      <c r="D44" s="7">
        <f>IF(C44="",B44/126-1,C44/126-1)</f>
        <v>0.33333333333333326</v>
      </c>
    </row>
    <row r="45" spans="1:4" x14ac:dyDescent="0.25">
      <c r="A45" s="35" t="s">
        <v>49</v>
      </c>
      <c r="B45" s="52">
        <v>182</v>
      </c>
      <c r="C45" s="39"/>
      <c r="D45" s="7">
        <f>IF(C45="",B45/137-1,C45/137-1)</f>
        <v>0.32846715328467146</v>
      </c>
    </row>
    <row r="46" spans="1:4" x14ac:dyDescent="0.25">
      <c r="A46" s="35" t="s">
        <v>4</v>
      </c>
      <c r="B46" s="52">
        <v>142</v>
      </c>
      <c r="C46" s="39"/>
      <c r="D46" s="7">
        <f>IF(C46="",B46/107-1,C46/107-1)</f>
        <v>0.32710280373831768</v>
      </c>
    </row>
    <row r="47" spans="1:4" x14ac:dyDescent="0.25">
      <c r="A47" s="35" t="s">
        <v>17</v>
      </c>
      <c r="B47" s="52">
        <v>62</v>
      </c>
      <c r="C47" s="39"/>
      <c r="D47" s="7">
        <f>IF(C47="",B47/47-1,C47/47-1)</f>
        <v>0.31914893617021267</v>
      </c>
    </row>
    <row r="48" spans="1:4" x14ac:dyDescent="0.25">
      <c r="A48" s="35" t="s">
        <v>37</v>
      </c>
      <c r="B48" s="52">
        <v>88</v>
      </c>
      <c r="C48" s="39"/>
      <c r="D48" s="7">
        <f>IF(C48="",B48/67-1,C48/67-1)</f>
        <v>0.31343283582089554</v>
      </c>
    </row>
    <row r="49" spans="1:4" x14ac:dyDescent="0.25">
      <c r="A49" s="35" t="s">
        <v>12</v>
      </c>
      <c r="B49" s="52">
        <v>52</v>
      </c>
      <c r="C49" s="39"/>
      <c r="D49" s="7">
        <f>IF(C49="",B49/40-1,C49/40-1)</f>
        <v>0.30000000000000004</v>
      </c>
    </row>
    <row r="50" spans="1:4" x14ac:dyDescent="0.25">
      <c r="A50" s="35" t="s">
        <v>32</v>
      </c>
      <c r="B50" s="52">
        <v>39</v>
      </c>
      <c r="C50" s="39"/>
      <c r="D50" s="7">
        <f>IF(C50="",B50/30-1,C50/30-1)</f>
        <v>0.30000000000000004</v>
      </c>
    </row>
    <row r="51" spans="1:4" x14ac:dyDescent="0.25">
      <c r="A51" s="35" t="s">
        <v>3</v>
      </c>
      <c r="B51" s="52">
        <v>31</v>
      </c>
      <c r="C51" s="39"/>
      <c r="D51" s="7">
        <f>IF(C51="",B51/24-1,C51/24-1)</f>
        <v>0.29166666666666674</v>
      </c>
    </row>
    <row r="52" spans="1:4" x14ac:dyDescent="0.25">
      <c r="A52" s="35" t="s">
        <v>68</v>
      </c>
      <c r="B52" s="52">
        <v>863</v>
      </c>
      <c r="C52" s="39"/>
      <c r="D52" s="7">
        <f>IF(C52="",B52/676-1,C52/676-1)</f>
        <v>0.27662721893491127</v>
      </c>
    </row>
    <row r="53" spans="1:4" x14ac:dyDescent="0.25">
      <c r="A53" s="35" t="s">
        <v>6</v>
      </c>
      <c r="B53" s="52">
        <v>37</v>
      </c>
      <c r="C53" s="39"/>
      <c r="D53" s="7">
        <f>IF(C53="",B53/29-1,C53/29-1)</f>
        <v>0.27586206896551735</v>
      </c>
    </row>
    <row r="54" spans="1:4" x14ac:dyDescent="0.25">
      <c r="A54" s="35" t="s">
        <v>50</v>
      </c>
      <c r="B54" s="52">
        <v>89</v>
      </c>
      <c r="C54" s="39"/>
      <c r="D54" s="7">
        <f>IF(C54="",B54/70-1,C54/70-1)</f>
        <v>0.27142857142857135</v>
      </c>
    </row>
    <row r="55" spans="1:4" x14ac:dyDescent="0.25">
      <c r="A55" s="35" t="s">
        <v>46</v>
      </c>
      <c r="B55" s="52">
        <v>282</v>
      </c>
      <c r="C55" s="39"/>
      <c r="D55" s="7">
        <f>IF(C55="",B55/223-1,C55/223-1)</f>
        <v>0.26457399103139023</v>
      </c>
    </row>
    <row r="56" spans="1:4" x14ac:dyDescent="0.25">
      <c r="A56" s="35" t="s">
        <v>1</v>
      </c>
      <c r="B56" s="52">
        <v>29</v>
      </c>
      <c r="C56" s="39"/>
      <c r="D56" s="7">
        <f>IF(C56="",B56/23-1,C56/23-1)</f>
        <v>0.26086956521739135</v>
      </c>
    </row>
    <row r="57" spans="1:4" x14ac:dyDescent="0.25">
      <c r="A57" s="35" t="s">
        <v>62</v>
      </c>
      <c r="B57" s="52">
        <v>68</v>
      </c>
      <c r="C57" s="39"/>
      <c r="D57" s="7">
        <f>IF(C57="",B57/54-1,C57/54-1)</f>
        <v>0.2592592592592593</v>
      </c>
    </row>
    <row r="58" spans="1:4" x14ac:dyDescent="0.25">
      <c r="A58" s="35" t="s">
        <v>63</v>
      </c>
      <c r="B58" s="52">
        <v>118</v>
      </c>
      <c r="C58" s="39"/>
      <c r="D58" s="7">
        <f>IF(C58="",B58/95-1,C58/95-1)</f>
        <v>0.24210526315789482</v>
      </c>
    </row>
    <row r="59" spans="1:4" x14ac:dyDescent="0.25">
      <c r="A59" s="35" t="s">
        <v>25</v>
      </c>
      <c r="B59" s="52">
        <v>37</v>
      </c>
      <c r="C59" s="39"/>
      <c r="D59" s="7">
        <f>IF(C59="",B59/30-1,C59/30-1)</f>
        <v>0.23333333333333339</v>
      </c>
    </row>
    <row r="60" spans="1:4" x14ac:dyDescent="0.25">
      <c r="A60" s="35" t="s">
        <v>2</v>
      </c>
      <c r="B60" s="52">
        <v>140</v>
      </c>
      <c r="C60" s="39"/>
      <c r="D60" s="7">
        <f>IF(C60="",B60/114-1,C60/114-1)</f>
        <v>0.22807017543859653</v>
      </c>
    </row>
    <row r="61" spans="1:4" x14ac:dyDescent="0.25">
      <c r="A61" s="35" t="s">
        <v>57</v>
      </c>
      <c r="B61" s="52">
        <v>49</v>
      </c>
      <c r="C61" s="39"/>
      <c r="D61" s="7">
        <f>IF(C61="",B61/40-1,C61/40-1)</f>
        <v>0.22500000000000009</v>
      </c>
    </row>
    <row r="62" spans="1:4" x14ac:dyDescent="0.25">
      <c r="A62" s="35" t="s">
        <v>8</v>
      </c>
      <c r="B62" s="52">
        <v>213</v>
      </c>
      <c r="C62" s="39"/>
      <c r="D62" s="7">
        <f>IF(C62="",B62/174-1,C62/174-1)</f>
        <v>0.22413793103448265</v>
      </c>
    </row>
    <row r="63" spans="1:4" x14ac:dyDescent="0.25">
      <c r="A63" s="35" t="s">
        <v>76</v>
      </c>
      <c r="B63" s="52">
        <v>33</v>
      </c>
      <c r="C63" s="39"/>
      <c r="D63" s="7">
        <f>IF(C63="",B63/27-1,C63/27-1)</f>
        <v>0.22222222222222232</v>
      </c>
    </row>
    <row r="64" spans="1:4" x14ac:dyDescent="0.25">
      <c r="A64" s="35" t="s">
        <v>33</v>
      </c>
      <c r="B64" s="52">
        <v>39</v>
      </c>
      <c r="C64" s="39"/>
      <c r="D64" s="7">
        <f>IF(C64="",B64/32-1,C64/32-1)</f>
        <v>0.21875</v>
      </c>
    </row>
    <row r="65" spans="1:4" x14ac:dyDescent="0.25">
      <c r="A65" s="35" t="s">
        <v>78</v>
      </c>
      <c r="B65" s="52">
        <v>55</v>
      </c>
      <c r="C65" s="39"/>
      <c r="D65" s="7">
        <f>IF(C65="",B65/46-1,C65/46-1)</f>
        <v>0.19565217391304346</v>
      </c>
    </row>
    <row r="66" spans="1:4" x14ac:dyDescent="0.25">
      <c r="A66" s="35" t="s">
        <v>9</v>
      </c>
      <c r="B66" s="52">
        <v>101</v>
      </c>
      <c r="C66" s="39"/>
      <c r="D66" s="7">
        <f>IF(C66="",B66/85-1,C66/85-1)</f>
        <v>0.18823529411764706</v>
      </c>
    </row>
    <row r="67" spans="1:4" x14ac:dyDescent="0.25">
      <c r="A67" s="35" t="s">
        <v>43</v>
      </c>
      <c r="B67" s="52">
        <v>129</v>
      </c>
      <c r="C67" s="39"/>
      <c r="D67" s="7">
        <f>IF(C67="",B67/109-1,C67/109-1)</f>
        <v>0.1834862385321101</v>
      </c>
    </row>
    <row r="68" spans="1:4" x14ac:dyDescent="0.25">
      <c r="A68" s="35" t="s">
        <v>61</v>
      </c>
      <c r="B68" s="52">
        <v>118</v>
      </c>
      <c r="C68" s="39"/>
      <c r="D68" s="7">
        <f>IF(C68="",B68/100-1,C68/100-1)</f>
        <v>0.17999999999999994</v>
      </c>
    </row>
    <row r="69" spans="1:4" x14ac:dyDescent="0.25">
      <c r="A69" s="35" t="s">
        <v>30</v>
      </c>
      <c r="B69" s="52">
        <v>34</v>
      </c>
      <c r="C69" s="39"/>
      <c r="D69" s="7">
        <f>IF(C69="",B69/29-1,C69/29-1)</f>
        <v>0.17241379310344818</v>
      </c>
    </row>
    <row r="70" spans="1:4" x14ac:dyDescent="0.25">
      <c r="A70" s="35" t="s">
        <v>20</v>
      </c>
      <c r="B70" s="52">
        <v>41</v>
      </c>
      <c r="C70" s="39"/>
      <c r="D70" s="7">
        <f>IF(C70="",B70/35-1,C70/35-1)</f>
        <v>0.17142857142857149</v>
      </c>
    </row>
    <row r="71" spans="1:4" x14ac:dyDescent="0.25">
      <c r="A71" s="35" t="s">
        <v>34</v>
      </c>
      <c r="B71" s="52">
        <v>55</v>
      </c>
      <c r="C71" s="39"/>
      <c r="D71" s="7">
        <f>IF(C71="",B71/47-1,C71/47-1)</f>
        <v>0.17021276595744683</v>
      </c>
    </row>
    <row r="72" spans="1:4" x14ac:dyDescent="0.25">
      <c r="A72" s="35" t="s">
        <v>10</v>
      </c>
      <c r="B72" s="52">
        <v>119</v>
      </c>
      <c r="C72" s="39"/>
      <c r="D72" s="7">
        <f>IF(C72="",B72/102-1,C72/102-1)</f>
        <v>0.16666666666666674</v>
      </c>
    </row>
    <row r="73" spans="1:4" x14ac:dyDescent="0.25">
      <c r="A73" s="35" t="s">
        <v>56</v>
      </c>
      <c r="B73" s="52">
        <v>56</v>
      </c>
      <c r="C73" s="39"/>
      <c r="D73" s="7">
        <f>IF(C73="",B73/48-1,C73/48-1)</f>
        <v>0.16666666666666674</v>
      </c>
    </row>
    <row r="74" spans="1:4" x14ac:dyDescent="0.25">
      <c r="A74" s="35" t="s">
        <v>59</v>
      </c>
      <c r="B74" s="52">
        <v>49</v>
      </c>
      <c r="C74" s="39"/>
      <c r="D74" s="7">
        <f>IF(C74="",B74/42-1,C74/42-1)</f>
        <v>0.16666666666666674</v>
      </c>
    </row>
    <row r="75" spans="1:4" x14ac:dyDescent="0.25">
      <c r="A75" s="35" t="s">
        <v>77</v>
      </c>
      <c r="B75" s="52">
        <v>50</v>
      </c>
      <c r="C75" s="39"/>
      <c r="D75" s="7">
        <f>IF(C75="",B75/43-1,C75/43-1)</f>
        <v>0.16279069767441867</v>
      </c>
    </row>
    <row r="76" spans="1:4" x14ac:dyDescent="0.25">
      <c r="A76" s="35" t="s">
        <v>52</v>
      </c>
      <c r="B76" s="52">
        <v>103</v>
      </c>
      <c r="C76" s="39"/>
      <c r="D76" s="7">
        <f>IF(C76="",B76/89-1,C76/89-1)</f>
        <v>0.15730337078651679</v>
      </c>
    </row>
    <row r="77" spans="1:4" x14ac:dyDescent="0.25">
      <c r="A77" s="35" t="s">
        <v>11</v>
      </c>
      <c r="B77" s="52">
        <v>37</v>
      </c>
      <c r="C77" s="39"/>
      <c r="D77" s="7">
        <f>IF(C77="",B77/32-1,C77/32-1)</f>
        <v>0.15625</v>
      </c>
    </row>
    <row r="78" spans="1:4" x14ac:dyDescent="0.25">
      <c r="A78" s="35" t="s">
        <v>21</v>
      </c>
      <c r="B78" s="52">
        <v>67</v>
      </c>
      <c r="C78" s="39"/>
      <c r="D78" s="7">
        <f>IF(C78="",B78/58-1,C78/58-1)</f>
        <v>0.15517241379310343</v>
      </c>
    </row>
    <row r="79" spans="1:4" x14ac:dyDescent="0.25">
      <c r="A79" s="35" t="s">
        <v>22</v>
      </c>
      <c r="B79" s="52">
        <v>141</v>
      </c>
      <c r="C79" s="39"/>
      <c r="D79" s="7">
        <f>IF(C79="",B79/123-1,C79/123-1)</f>
        <v>0.14634146341463405</v>
      </c>
    </row>
    <row r="80" spans="1:4" x14ac:dyDescent="0.25">
      <c r="A80" s="35" t="s">
        <v>31</v>
      </c>
      <c r="B80" s="52">
        <v>34</v>
      </c>
      <c r="C80" s="39"/>
      <c r="D80" s="7">
        <f>IF(C80="",B80/30-1,C80/30-1)</f>
        <v>0.1333333333333333</v>
      </c>
    </row>
    <row r="81" spans="1:4" x14ac:dyDescent="0.25">
      <c r="A81" s="35" t="s">
        <v>16</v>
      </c>
      <c r="B81" s="52">
        <v>29</v>
      </c>
      <c r="C81" s="39"/>
      <c r="D81" s="7">
        <f>IF(C81="",B81/26-1,C81/26-1)</f>
        <v>0.11538461538461542</v>
      </c>
    </row>
    <row r="82" spans="1:4" x14ac:dyDescent="0.25">
      <c r="A82" s="35" t="s">
        <v>45</v>
      </c>
      <c r="B82" s="52">
        <v>7257</v>
      </c>
      <c r="C82" s="39"/>
      <c r="D82" s="7">
        <f>IF(C82="",B82/6557-1,C82/6557-1)</f>
        <v>0.1067561384779625</v>
      </c>
    </row>
    <row r="83" spans="1:4" x14ac:dyDescent="0.25">
      <c r="A83" s="35" t="s">
        <v>14</v>
      </c>
      <c r="B83" s="52">
        <v>98</v>
      </c>
      <c r="C83" s="39"/>
      <c r="D83" s="7">
        <f>IF(C83="",B83/89-1,C83/89-1)</f>
        <v>0.101123595505618</v>
      </c>
    </row>
    <row r="84" spans="1:4" x14ac:dyDescent="0.25">
      <c r="A84" s="35" t="s">
        <v>66</v>
      </c>
      <c r="B84" s="52">
        <v>297</v>
      </c>
      <c r="C84" s="39"/>
      <c r="D84" s="7">
        <f>IF(C84="",B84/270-1,C84/270-1)</f>
        <v>0.10000000000000009</v>
      </c>
    </row>
    <row r="85" spans="1:4" x14ac:dyDescent="0.25">
      <c r="A85" s="35" t="s">
        <v>28</v>
      </c>
      <c r="B85" s="52">
        <v>114</v>
      </c>
      <c r="C85" s="39"/>
      <c r="D85" s="7">
        <f>IF(C85="",B85/104-1,C85/104-1)</f>
        <v>9.6153846153846256E-2</v>
      </c>
    </row>
    <row r="86" spans="1:4" x14ac:dyDescent="0.25">
      <c r="A86" s="35" t="s">
        <v>19</v>
      </c>
      <c r="B86" s="52">
        <v>36</v>
      </c>
      <c r="C86" s="39"/>
      <c r="D86" s="7">
        <f>IF(C86="",B86/33-1,C86/33-1)</f>
        <v>9.0909090909090828E-2</v>
      </c>
    </row>
    <row r="87" spans="1:4" x14ac:dyDescent="0.25">
      <c r="A87" s="35" t="s">
        <v>67</v>
      </c>
      <c r="B87" s="52">
        <v>13</v>
      </c>
      <c r="C87" s="39"/>
      <c r="D87" s="7">
        <f>IF(C87="",B87/12-1,C87/12-1)</f>
        <v>8.3333333333333259E-2</v>
      </c>
    </row>
    <row r="88" spans="1:4" x14ac:dyDescent="0.25">
      <c r="A88" s="35" t="s">
        <v>36</v>
      </c>
      <c r="B88" s="52">
        <v>79</v>
      </c>
      <c r="C88" s="39"/>
      <c r="D88" s="7">
        <f>IF(C88="",B88/73-1,C88/73-1)</f>
        <v>8.2191780821917915E-2</v>
      </c>
    </row>
    <row r="89" spans="1:4" x14ac:dyDescent="0.25">
      <c r="A89" s="35" t="s">
        <v>40</v>
      </c>
      <c r="B89" s="52">
        <v>44</v>
      </c>
      <c r="C89" s="39"/>
      <c r="D89" s="7">
        <f>IF(C89="",B89/41-1,C89/41-1)</f>
        <v>7.3170731707317138E-2</v>
      </c>
    </row>
    <row r="90" spans="1:4" x14ac:dyDescent="0.25">
      <c r="A90" s="35" t="s">
        <v>55</v>
      </c>
      <c r="B90" s="52">
        <v>74</v>
      </c>
      <c r="C90" s="39"/>
      <c r="D90" s="7">
        <f>IF(C90="",B90/69-1,C90/69-1)</f>
        <v>7.2463768115942129E-2</v>
      </c>
    </row>
    <row r="91" spans="1:4" x14ac:dyDescent="0.25">
      <c r="A91" s="35" t="s">
        <v>70</v>
      </c>
      <c r="B91" s="52">
        <v>22</v>
      </c>
      <c r="C91" s="39"/>
      <c r="D91" s="7">
        <f>IF(C91="",B91/21-1,C91/21-1)</f>
        <v>4.7619047619047672E-2</v>
      </c>
    </row>
    <row r="92" spans="1:4" x14ac:dyDescent="0.25">
      <c r="A92" s="35" t="s">
        <v>58</v>
      </c>
      <c r="B92" s="52">
        <v>46</v>
      </c>
      <c r="C92" s="39"/>
      <c r="D92" s="7">
        <f>IF(C92="",B92/45-1,C92/45-1)</f>
        <v>2.2222222222222143E-2</v>
      </c>
    </row>
    <row r="93" spans="1:4" x14ac:dyDescent="0.25">
      <c r="A93" s="35" t="s">
        <v>13</v>
      </c>
      <c r="B93" s="52">
        <v>200</v>
      </c>
      <c r="C93" s="39"/>
      <c r="D93" s="7">
        <f>IF(C93="",B93/203-1,C93/203-1)</f>
        <v>-1.4778325123152691E-2</v>
      </c>
    </row>
    <row r="94" spans="1:4" x14ac:dyDescent="0.25">
      <c r="A94" s="35" t="s">
        <v>42</v>
      </c>
      <c r="B94" s="52">
        <v>42</v>
      </c>
      <c r="C94" s="39"/>
      <c r="D94" s="7">
        <f>IF(C94="",B94/45-1,C94/45-1)</f>
        <v>-6.6666666666666652E-2</v>
      </c>
    </row>
    <row r="95" spans="1:4" x14ac:dyDescent="0.25">
      <c r="A95" s="35" t="s">
        <v>81</v>
      </c>
      <c r="B95" s="52">
        <v>21</v>
      </c>
      <c r="C95" s="39"/>
      <c r="D95" s="7">
        <f>IF(C95="",B95/24-1,C95/24-1)</f>
        <v>-0.125</v>
      </c>
    </row>
    <row r="96" spans="1:4" x14ac:dyDescent="0.25">
      <c r="A96" s="35" t="s">
        <v>35</v>
      </c>
      <c r="B96" s="52">
        <v>56</v>
      </c>
      <c r="C96" s="39"/>
      <c r="D96" s="7">
        <f>IF(C96="",B96/69-1,C96/69-1)</f>
        <v>-0.18840579710144922</v>
      </c>
    </row>
    <row r="97" spans="1:4" ht="15.75" thickBot="1" x14ac:dyDescent="0.3">
      <c r="A97" s="36" t="s">
        <v>79</v>
      </c>
      <c r="B97" s="72">
        <v>33</v>
      </c>
      <c r="C97" s="40"/>
      <c r="D97" s="8">
        <f>IF(C97="",B97/44-1,C97/44-1)</f>
        <v>-0.25</v>
      </c>
    </row>
  </sheetData>
  <sortState ref="A9:D10">
    <sortCondition descending="1" ref="D9:D10"/>
  </sortState>
  <mergeCells count="3">
    <mergeCell ref="B5:D6"/>
    <mergeCell ref="B7:B8"/>
    <mergeCell ref="B12:B13"/>
  </mergeCells>
  <conditionalFormatting sqref="A14:D97">
    <cfRule type="expression" dxfId="215" priority="16">
      <formula>MOD(ROW(),2)</formula>
    </cfRule>
  </conditionalFormatting>
  <conditionalFormatting sqref="D14:D97 D9:D11">
    <cfRule type="cellIs" dxfId="214" priority="14" operator="lessThan">
      <formula>0</formula>
    </cfRule>
    <cfRule type="expression" dxfId="213" priority="15" stopIfTrue="1">
      <formula>$G:$G&lt;0%</formula>
    </cfRule>
  </conditionalFormatting>
  <conditionalFormatting sqref="D14:D9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{AAAB944E-5EA4-4E5D-9EAA-A8B7DE9FE9AD}</x14:id>
        </ext>
      </extLst>
    </cfRule>
  </conditionalFormatting>
  <pageMargins left="0.7" right="0.7" top="0.78740157499999996" bottom="0.78740157499999996" header="0.3" footer="0.3"/>
  <pageSetup paperSize="9" orientation="portrait" r:id="rId1"/>
  <ignoredErrors>
    <ignoredError sqref="D9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AB944E-5EA4-4E5D-9EAA-A8B7DE9FE9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D14:D97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70" workbookViewId="0">
      <selection activeCell="I16" sqref="I16"/>
    </sheetView>
  </sheetViews>
  <sheetFormatPr baseColWidth="10" defaultRowHeight="15" x14ac:dyDescent="0.25"/>
  <cols>
    <col min="1" max="1" width="24.7109375" bestFit="1" customWidth="1"/>
    <col min="2" max="2" width="15.28515625" style="11" bestFit="1" customWidth="1"/>
    <col min="3" max="4" width="15.28515625" style="11" customWidth="1"/>
    <col min="5" max="5" width="15.28515625" style="11" bestFit="1" customWidth="1"/>
    <col min="6" max="6" width="15.28515625" style="11" customWidth="1"/>
  </cols>
  <sheetData>
    <row r="1" spans="1:6" ht="36" x14ac:dyDescent="0.55000000000000004">
      <c r="A1" s="9" t="s">
        <v>95</v>
      </c>
      <c r="B1" s="2"/>
      <c r="C1" s="2"/>
      <c r="D1" s="2"/>
      <c r="E1"/>
      <c r="F1"/>
    </row>
    <row r="2" spans="1:6" x14ac:dyDescent="0.25">
      <c r="B2" s="2"/>
      <c r="C2" s="2"/>
      <c r="D2" s="2"/>
      <c r="E2" s="28"/>
      <c r="F2" s="28"/>
    </row>
    <row r="3" spans="1:6" x14ac:dyDescent="0.25">
      <c r="B3" s="2"/>
      <c r="C3" s="2"/>
      <c r="D3" s="2"/>
      <c r="E3" s="28"/>
      <c r="F3" s="28"/>
    </row>
    <row r="4" spans="1:6" ht="24" thickBot="1" x14ac:dyDescent="0.4">
      <c r="B4" s="42" t="s">
        <v>106</v>
      </c>
      <c r="C4" s="42"/>
      <c r="D4" s="42"/>
      <c r="E4" s="42"/>
      <c r="F4" s="42"/>
    </row>
    <row r="5" spans="1:6" x14ac:dyDescent="0.25">
      <c r="B5" s="54" t="s">
        <v>123</v>
      </c>
      <c r="C5" s="55"/>
      <c r="D5" s="55"/>
      <c r="E5" s="55"/>
      <c r="F5" s="56"/>
    </row>
    <row r="6" spans="1:6" ht="15.75" thickBot="1" x14ac:dyDescent="0.3">
      <c r="B6" s="57"/>
      <c r="C6" s="58"/>
      <c r="D6" s="58"/>
      <c r="E6" s="58"/>
      <c r="F6" s="59"/>
    </row>
    <row r="7" spans="1:6" x14ac:dyDescent="0.25">
      <c r="A7" s="33"/>
      <c r="B7" s="60" t="s">
        <v>121</v>
      </c>
      <c r="C7" s="30" t="s">
        <v>90</v>
      </c>
      <c r="D7" s="19" t="s">
        <v>96</v>
      </c>
      <c r="E7" s="15" t="s">
        <v>85</v>
      </c>
      <c r="F7" s="16"/>
    </row>
    <row r="8" spans="1:6" ht="16.5" thickBot="1" x14ac:dyDescent="0.3">
      <c r="A8" s="34" t="s">
        <v>94</v>
      </c>
      <c r="B8" s="61"/>
      <c r="C8" s="31" t="s">
        <v>91</v>
      </c>
      <c r="D8" s="20" t="s">
        <v>97</v>
      </c>
      <c r="E8" s="1" t="s">
        <v>86</v>
      </c>
      <c r="F8" s="3"/>
    </row>
    <row r="9" spans="1:6" x14ac:dyDescent="0.25">
      <c r="A9" s="35" t="s">
        <v>92</v>
      </c>
      <c r="B9" s="5">
        <v>13200</v>
      </c>
      <c r="C9" s="5"/>
      <c r="D9" s="22">
        <f>IF(C9="",B9/13750-1,C9/13750-1)</f>
        <v>-4.0000000000000036E-2</v>
      </c>
      <c r="E9" s="45">
        <f>IF(C9="",13750/B9-1,13750/C9-1)</f>
        <v>4.1666666666666741E-2</v>
      </c>
      <c r="F9" s="7"/>
    </row>
    <row r="10" spans="1:6" x14ac:dyDescent="0.25">
      <c r="A10" s="35" t="s">
        <v>93</v>
      </c>
      <c r="B10" s="5">
        <v>28600</v>
      </c>
      <c r="C10" s="5"/>
      <c r="D10" s="22">
        <f>IF(C10="",B10/29551-1,C10/29551-1)</f>
        <v>-3.2181652059152022E-2</v>
      </c>
      <c r="E10" s="17">
        <f>IF(C10="",29551/B10-1,29551/C10-1)</f>
        <v>3.3251748251748259E-2</v>
      </c>
      <c r="F10" s="7"/>
    </row>
    <row r="11" spans="1:6" ht="15.75" thickBot="1" x14ac:dyDescent="0.3">
      <c r="A11" s="36"/>
      <c r="B11" s="6"/>
      <c r="C11" s="6"/>
      <c r="D11" s="6"/>
      <c r="E11" s="14"/>
      <c r="F11" s="8"/>
    </row>
    <row r="12" spans="1:6" x14ac:dyDescent="0.25">
      <c r="A12" s="37"/>
      <c r="B12" s="60" t="s">
        <v>122</v>
      </c>
      <c r="C12" s="32" t="s">
        <v>90</v>
      </c>
      <c r="D12" s="21" t="s">
        <v>96</v>
      </c>
      <c r="E12" s="12" t="s">
        <v>85</v>
      </c>
      <c r="F12" s="13" t="s">
        <v>100</v>
      </c>
    </row>
    <row r="13" spans="1:6" ht="15.75" thickBot="1" x14ac:dyDescent="0.3">
      <c r="A13" s="38" t="s">
        <v>84</v>
      </c>
      <c r="B13" s="61"/>
      <c r="C13" s="31" t="s">
        <v>91</v>
      </c>
      <c r="D13" s="20" t="s">
        <v>97</v>
      </c>
      <c r="E13" s="1" t="s">
        <v>86</v>
      </c>
      <c r="F13" s="3" t="s">
        <v>124</v>
      </c>
    </row>
    <row r="14" spans="1:6" x14ac:dyDescent="0.25">
      <c r="A14" s="35" t="s">
        <v>81</v>
      </c>
      <c r="B14" s="52">
        <v>21</v>
      </c>
      <c r="C14" s="39"/>
      <c r="D14" s="22">
        <f>IF(C14="",B14/44-1,C14/44-1)</f>
        <v>-0.52272727272727271</v>
      </c>
      <c r="E14" s="17">
        <f>IF(C14="",44/B14-1,44/C14-1)</f>
        <v>1.0952380952380953</v>
      </c>
      <c r="F14" s="74">
        <v>1.6</v>
      </c>
    </row>
    <row r="15" spans="1:6" x14ac:dyDescent="0.25">
      <c r="A15" s="35" t="s">
        <v>67</v>
      </c>
      <c r="B15" s="52">
        <v>13</v>
      </c>
      <c r="C15" s="39"/>
      <c r="D15" s="22">
        <f>IF(C15="",B15/24-1,C15/24-1)</f>
        <v>-0.45833333333333337</v>
      </c>
      <c r="E15" s="17">
        <f>IF(C15="",24/B15-1,24/C15-1)</f>
        <v>0.84615384615384626</v>
      </c>
      <c r="F15" s="69">
        <v>4.9000000000000004</v>
      </c>
    </row>
    <row r="16" spans="1:6" x14ac:dyDescent="0.25">
      <c r="A16" s="35" t="s">
        <v>82</v>
      </c>
      <c r="B16" s="52">
        <v>12</v>
      </c>
      <c r="C16" s="39"/>
      <c r="D16" s="22">
        <f>IF(C16="",B16/21-1,C16/21-1)</f>
        <v>-0.4285714285714286</v>
      </c>
      <c r="E16" s="17">
        <f>IF(C16="",21/B16-1,21/C16-1)</f>
        <v>0.75</v>
      </c>
      <c r="F16" s="69">
        <v>4.8</v>
      </c>
    </row>
    <row r="17" spans="1:6" x14ac:dyDescent="0.25">
      <c r="A17" s="35" t="s">
        <v>30</v>
      </c>
      <c r="B17" s="52">
        <v>34</v>
      </c>
      <c r="C17" s="39"/>
      <c r="D17" s="22">
        <f>IF(C17="",B17/56-1,C17/56-1)</f>
        <v>-0.3928571428571429</v>
      </c>
      <c r="E17" s="17">
        <f>IF(C17="",56/B17-1,56/C17-1)</f>
        <v>0.64705882352941169</v>
      </c>
      <c r="F17" s="69">
        <v>8.6999999999999993</v>
      </c>
    </row>
    <row r="18" spans="1:6" x14ac:dyDescent="0.25">
      <c r="A18" s="35" t="s">
        <v>58</v>
      </c>
      <c r="B18" s="52">
        <v>46</v>
      </c>
      <c r="C18" s="39"/>
      <c r="D18" s="22">
        <f>IF(C18="",B18/73-1,C18/73-1)</f>
        <v>-0.36986301369863017</v>
      </c>
      <c r="E18" s="17">
        <f>IF(C18="",73/B18-1,73/C18-1)</f>
        <v>0.58695652173913038</v>
      </c>
      <c r="F18" s="69">
        <v>4.8</v>
      </c>
    </row>
    <row r="19" spans="1:6" x14ac:dyDescent="0.25">
      <c r="A19" s="35" t="s">
        <v>3</v>
      </c>
      <c r="B19" s="52">
        <v>31</v>
      </c>
      <c r="C19" s="39"/>
      <c r="D19" s="22">
        <f>IF(C19="",B19/48-1,C19/48-1)</f>
        <v>-0.35416666666666663</v>
      </c>
      <c r="E19" s="17">
        <f>IF(C19="",48/B19-1,48/C19-1)</f>
        <v>0.54838709677419351</v>
      </c>
      <c r="F19" s="69">
        <v>3</v>
      </c>
    </row>
    <row r="20" spans="1:6" x14ac:dyDescent="0.25">
      <c r="A20" s="35" t="s">
        <v>79</v>
      </c>
      <c r="B20" s="52">
        <v>33</v>
      </c>
      <c r="C20" s="39"/>
      <c r="D20" s="22">
        <f>IF(C20="",B20/50-1,C20/50-1)</f>
        <v>-0.33999999999999997</v>
      </c>
      <c r="E20" s="17">
        <f>IF(C20="",50/B20-1,50/C20-1)</f>
        <v>0.51515151515151514</v>
      </c>
      <c r="F20" s="69">
        <v>4.8</v>
      </c>
    </row>
    <row r="21" spans="1:6" x14ac:dyDescent="0.25">
      <c r="A21" s="35" t="s">
        <v>42</v>
      </c>
      <c r="B21" s="52">
        <v>42</v>
      </c>
      <c r="C21" s="39"/>
      <c r="D21" s="22">
        <f>IF(C21="",B21/62-1,C21/62-1)</f>
        <v>-0.32258064516129037</v>
      </c>
      <c r="E21" s="17">
        <f>IF(C21="",62/B21-1,62/C21-1)</f>
        <v>0.47619047619047628</v>
      </c>
      <c r="F21" s="69">
        <v>2.6</v>
      </c>
    </row>
    <row r="22" spans="1:6" x14ac:dyDescent="0.25">
      <c r="A22" s="35" t="s">
        <v>74</v>
      </c>
      <c r="B22" s="52">
        <v>49</v>
      </c>
      <c r="C22" s="39"/>
      <c r="D22" s="22">
        <f>IF(C22="",B22/71-1,C22/71-1)</f>
        <v>-0.3098591549295775</v>
      </c>
      <c r="E22" s="17">
        <f>IF(C22="",71/B22-1,71/C22-1)</f>
        <v>0.44897959183673475</v>
      </c>
      <c r="F22" s="69">
        <v>3</v>
      </c>
    </row>
    <row r="23" spans="1:6" x14ac:dyDescent="0.25">
      <c r="A23" s="35" t="s">
        <v>25</v>
      </c>
      <c r="B23" s="52">
        <v>37</v>
      </c>
      <c r="C23" s="39"/>
      <c r="D23" s="22">
        <f>IF(C23="",B23/53-1,C23/53-1)</f>
        <v>-0.30188679245283023</v>
      </c>
      <c r="E23" s="17">
        <f>IF(C23="",53/B23-1,53/C23-1)</f>
        <v>0.43243243243243246</v>
      </c>
      <c r="F23" s="69">
        <v>0.9</v>
      </c>
    </row>
    <row r="24" spans="1:6" x14ac:dyDescent="0.25">
      <c r="A24" s="35" t="s">
        <v>16</v>
      </c>
      <c r="B24" s="52">
        <v>29</v>
      </c>
      <c r="C24" s="39"/>
      <c r="D24" s="22">
        <f>IF(C24="",B24/41-1,C24/41-1)</f>
        <v>-0.29268292682926833</v>
      </c>
      <c r="E24" s="17">
        <f>IF(C24="",41/B24-1,41/C24-1)</f>
        <v>0.4137931034482758</v>
      </c>
      <c r="F24" s="69">
        <v>8</v>
      </c>
    </row>
    <row r="25" spans="1:6" x14ac:dyDescent="0.25">
      <c r="A25" s="35" t="s">
        <v>11</v>
      </c>
      <c r="B25" s="52">
        <v>37</v>
      </c>
      <c r="C25" s="39"/>
      <c r="D25" s="22">
        <f>IF(C25="",B25/52-1,C25/56-1)</f>
        <v>-0.28846153846153844</v>
      </c>
      <c r="E25" s="17">
        <f>IF(C25="",52/B25-1,52/C25-1)</f>
        <v>0.40540540540540548</v>
      </c>
      <c r="F25" s="69">
        <v>6.3</v>
      </c>
    </row>
    <row r="26" spans="1:6" x14ac:dyDescent="0.25">
      <c r="A26" s="35" t="s">
        <v>78</v>
      </c>
      <c r="B26" s="52">
        <v>55</v>
      </c>
      <c r="C26" s="39"/>
      <c r="D26" s="22">
        <f>IF(C26="",B26/77-1,C26/77-1)</f>
        <v>-0.2857142857142857</v>
      </c>
      <c r="E26" s="17">
        <f>IF(C26="",77/B26-1,77/C26-1)</f>
        <v>0.39999999999999991</v>
      </c>
      <c r="F26" s="69">
        <v>2.9</v>
      </c>
    </row>
    <row r="27" spans="1:6" x14ac:dyDescent="0.25">
      <c r="A27" s="35" t="s">
        <v>64</v>
      </c>
      <c r="B27" s="52">
        <v>13</v>
      </c>
      <c r="C27" s="39"/>
      <c r="D27" s="22">
        <f>IF(C27="",B27/18-1,C27/18-1)</f>
        <v>-0.27777777777777779</v>
      </c>
      <c r="E27" s="17">
        <f>IF(C27="",18/B27-1,18/C27-1)</f>
        <v>0.38461538461538458</v>
      </c>
      <c r="F27" s="69">
        <v>1</v>
      </c>
    </row>
    <row r="28" spans="1:6" x14ac:dyDescent="0.25">
      <c r="A28" s="35" t="s">
        <v>10</v>
      </c>
      <c r="B28" s="52">
        <v>119</v>
      </c>
      <c r="C28" s="39"/>
      <c r="D28" s="22">
        <f>IF(C28="",B28/164-1,C28/164-1)</f>
        <v>-0.27439024390243905</v>
      </c>
      <c r="E28" s="17">
        <f>IF(C28="",164/B28-1,164/C28-1)</f>
        <v>0.37815126050420167</v>
      </c>
      <c r="F28" s="69">
        <v>2.5</v>
      </c>
    </row>
    <row r="29" spans="1:6" x14ac:dyDescent="0.25">
      <c r="A29" s="35" t="s">
        <v>76</v>
      </c>
      <c r="B29" s="52">
        <v>33</v>
      </c>
      <c r="C29" s="39"/>
      <c r="D29" s="22">
        <f>IF(C29="",B29/45-1,C29/45-1)</f>
        <v>-0.26666666666666672</v>
      </c>
      <c r="E29" s="17">
        <f>IF(C29="",45/B29-1,45/C29-1)</f>
        <v>0.36363636363636354</v>
      </c>
      <c r="F29" s="69">
        <v>8</v>
      </c>
    </row>
    <row r="30" spans="1:6" x14ac:dyDescent="0.25">
      <c r="A30" s="35" t="s">
        <v>0</v>
      </c>
      <c r="B30" s="52">
        <v>50</v>
      </c>
      <c r="C30" s="39"/>
      <c r="D30" s="22">
        <f>IF(C30="",B30/68-1,C30/68-1)</f>
        <v>-0.26470588235294112</v>
      </c>
      <c r="E30" s="17">
        <f>IF(C30="",68/B30-1,68/C30-1)</f>
        <v>0.3600000000000001</v>
      </c>
      <c r="F30" s="69">
        <v>1.8</v>
      </c>
    </row>
    <row r="31" spans="1:6" x14ac:dyDescent="0.25">
      <c r="A31" s="35" t="s">
        <v>1</v>
      </c>
      <c r="B31" s="52">
        <v>29</v>
      </c>
      <c r="C31" s="39"/>
      <c r="D31" s="22">
        <f>IF(C31="",B31/39-1,C31/39-1)</f>
        <v>-0.25641025641025639</v>
      </c>
      <c r="E31" s="17">
        <f>IF(C31="",39/B31-1,39/C31-1)</f>
        <v>0.34482758620689657</v>
      </c>
      <c r="F31" s="69">
        <v>3.9</v>
      </c>
    </row>
    <row r="32" spans="1:6" x14ac:dyDescent="0.25">
      <c r="A32" s="35" t="s">
        <v>20</v>
      </c>
      <c r="B32" s="52">
        <v>41</v>
      </c>
      <c r="C32" s="39"/>
      <c r="D32" s="22">
        <f>IF(C32="",B32/55-1,C32/55-1)</f>
        <v>-0.25454545454545452</v>
      </c>
      <c r="E32" s="17">
        <f>IF(C32="",55/B32-1,55/C32-1)</f>
        <v>0.34146341463414642</v>
      </c>
      <c r="F32" s="69">
        <v>3.3</v>
      </c>
    </row>
    <row r="33" spans="1:6" x14ac:dyDescent="0.25">
      <c r="A33" s="35" t="s">
        <v>23</v>
      </c>
      <c r="B33" s="52">
        <v>42</v>
      </c>
      <c r="C33" s="39"/>
      <c r="D33" s="22">
        <f>IF(C33="",B33/55-1,C33/55-1)</f>
        <v>-0.23636363636363633</v>
      </c>
      <c r="E33" s="17">
        <f>IF(C33="",55/B33-1,55/C33-1)</f>
        <v>0.30952380952380953</v>
      </c>
      <c r="F33" s="69">
        <v>4.3</v>
      </c>
    </row>
    <row r="34" spans="1:6" x14ac:dyDescent="0.25">
      <c r="A34" s="35" t="s">
        <v>36</v>
      </c>
      <c r="B34" s="52">
        <v>79</v>
      </c>
      <c r="C34" s="39"/>
      <c r="D34" s="22">
        <f>IF(C34="",B34/103-1,C34/103-1)</f>
        <v>-0.23300970873786409</v>
      </c>
      <c r="E34" s="17">
        <f>IF(C34="",103/B34-1,103/C34-1)</f>
        <v>0.30379746835443044</v>
      </c>
      <c r="F34" s="70" t="s">
        <v>101</v>
      </c>
    </row>
    <row r="35" spans="1:6" x14ac:dyDescent="0.25">
      <c r="A35" s="35" t="s">
        <v>19</v>
      </c>
      <c r="B35" s="52">
        <v>36</v>
      </c>
      <c r="C35" s="39"/>
      <c r="D35" s="22">
        <f>IF(C35="",B35/46-1,C35/46-1)</f>
        <v>-0.21739130434782605</v>
      </c>
      <c r="E35" s="17">
        <f>IF(C35="",46/B35-1,46/C35-1)</f>
        <v>0.27777777777777768</v>
      </c>
      <c r="F35" s="69">
        <v>3.4</v>
      </c>
    </row>
    <row r="36" spans="1:6" x14ac:dyDescent="0.25">
      <c r="A36" s="35" t="s">
        <v>70</v>
      </c>
      <c r="B36" s="52">
        <v>22</v>
      </c>
      <c r="C36" s="39"/>
      <c r="D36" s="22">
        <f>IF(C36="",B36/28-1,C36/28-1)</f>
        <v>-0.2142857142857143</v>
      </c>
      <c r="E36" s="17">
        <f>IF(C36="",28/B36-1,28/C36-1)</f>
        <v>0.27272727272727271</v>
      </c>
      <c r="F36" s="69">
        <v>2</v>
      </c>
    </row>
    <row r="37" spans="1:6" x14ac:dyDescent="0.25">
      <c r="A37" s="35" t="s">
        <v>32</v>
      </c>
      <c r="B37" s="52">
        <v>39</v>
      </c>
      <c r="C37" s="39"/>
      <c r="D37" s="22">
        <f>IF(C37="",B37/49-1,C37/49-1)</f>
        <v>-0.20408163265306123</v>
      </c>
      <c r="E37" s="17">
        <f>IF(C37="",49/B37-1,49/C37-1)</f>
        <v>0.25641025641025639</v>
      </c>
      <c r="F37" s="69">
        <v>2.1</v>
      </c>
    </row>
    <row r="38" spans="1:6" x14ac:dyDescent="0.25">
      <c r="A38" s="35" t="s">
        <v>72</v>
      </c>
      <c r="B38" s="52">
        <v>160</v>
      </c>
      <c r="C38" s="39"/>
      <c r="D38" s="22">
        <f>IF(C38="",B38/199-1,C38/199-1)</f>
        <v>-0.1959798994974874</v>
      </c>
      <c r="E38" s="17">
        <f>IF(C38="",199/B38-1,199/C38-1)</f>
        <v>0.24374999999999991</v>
      </c>
      <c r="F38" s="69">
        <v>1.2</v>
      </c>
    </row>
    <row r="39" spans="1:6" x14ac:dyDescent="0.25">
      <c r="A39" s="35" t="s">
        <v>12</v>
      </c>
      <c r="B39" s="52">
        <v>52</v>
      </c>
      <c r="C39" s="39"/>
      <c r="D39" s="22">
        <f>IF(C39="",B39/64-1,C39/64-1)</f>
        <v>-0.1875</v>
      </c>
      <c r="E39" s="17">
        <f>IF(C39="",64/B39-1,64/C39-1)</f>
        <v>0.23076923076923084</v>
      </c>
      <c r="F39" s="69">
        <v>6.3</v>
      </c>
    </row>
    <row r="40" spans="1:6" x14ac:dyDescent="0.25">
      <c r="A40" s="35" t="s">
        <v>28</v>
      </c>
      <c r="B40" s="52">
        <v>114</v>
      </c>
      <c r="C40" s="39"/>
      <c r="D40" s="22">
        <f>IF(C40="",B40/139-1,C40/139-1)</f>
        <v>-0.17985611510791366</v>
      </c>
      <c r="E40" s="17">
        <f>IF(C40="",139/B40-1,139/C40-1)</f>
        <v>0.2192982456140351</v>
      </c>
      <c r="F40" s="70" t="s">
        <v>120</v>
      </c>
    </row>
    <row r="41" spans="1:6" x14ac:dyDescent="0.25">
      <c r="A41" s="35" t="s">
        <v>55</v>
      </c>
      <c r="B41" s="52">
        <v>74</v>
      </c>
      <c r="C41" s="39"/>
      <c r="D41" s="22">
        <f>IF(C41="",B41/90-1,C41/90-1)</f>
        <v>-0.17777777777777781</v>
      </c>
      <c r="E41" s="17">
        <f>IF(C41="",90/B41-1,90/C41-1)</f>
        <v>0.21621621621621623</v>
      </c>
      <c r="F41" s="69">
        <v>3.7</v>
      </c>
    </row>
    <row r="42" spans="1:6" x14ac:dyDescent="0.25">
      <c r="A42" s="35" t="s">
        <v>50</v>
      </c>
      <c r="B42" s="52">
        <v>89</v>
      </c>
      <c r="C42" s="39"/>
      <c r="D42" s="22">
        <f>IF(C42="",B42/107-1,C42/107-1)</f>
        <v>-0.16822429906542058</v>
      </c>
      <c r="E42" s="17">
        <f>IF(C42="",107/B42-1,107/C42-1)</f>
        <v>0.202247191011236</v>
      </c>
      <c r="F42" s="69">
        <v>2.1</v>
      </c>
    </row>
    <row r="43" spans="1:6" x14ac:dyDescent="0.25">
      <c r="A43" s="35" t="s">
        <v>62</v>
      </c>
      <c r="B43" s="52">
        <v>68</v>
      </c>
      <c r="C43" s="39"/>
      <c r="D43" s="22">
        <f>IF(C43="",B43/81-1,C43/81-1)</f>
        <v>-0.16049382716049387</v>
      </c>
      <c r="E43" s="17">
        <f>IF(C43="",81/B43-1,81/C43-1)</f>
        <v>0.19117647058823528</v>
      </c>
      <c r="F43" s="69">
        <v>5.8</v>
      </c>
    </row>
    <row r="44" spans="1:6" x14ac:dyDescent="0.25">
      <c r="A44" s="35" t="s">
        <v>68</v>
      </c>
      <c r="B44" s="52">
        <v>863</v>
      </c>
      <c r="C44" s="39"/>
      <c r="D44" s="22">
        <f>IF(C44="",B44/1026-1,C44/1026-1)</f>
        <v>-0.15886939571150094</v>
      </c>
      <c r="E44" s="17">
        <f>IF(C44="",1026/B44-1,1026/C44-1)</f>
        <v>0.18887601390498254</v>
      </c>
      <c r="F44" s="69">
        <v>2.9</v>
      </c>
    </row>
    <row r="45" spans="1:6" x14ac:dyDescent="0.25">
      <c r="A45" s="35" t="s">
        <v>83</v>
      </c>
      <c r="B45" s="73">
        <v>82</v>
      </c>
      <c r="C45" s="39"/>
      <c r="D45" s="22">
        <f>IF(C45="",B45/97-1,C45/97-1)</f>
        <v>-0.15463917525773196</v>
      </c>
      <c r="E45" s="17">
        <f>IF(C45="",97/B45-1,97/C45-1)</f>
        <v>0.18292682926829262</v>
      </c>
      <c r="F45" s="69">
        <v>1.9</v>
      </c>
    </row>
    <row r="46" spans="1:6" x14ac:dyDescent="0.25">
      <c r="A46" s="35" t="s">
        <v>31</v>
      </c>
      <c r="B46" s="52">
        <v>34</v>
      </c>
      <c r="C46" s="39"/>
      <c r="D46" s="22">
        <f>IF(C46="",B46/40-1,C46/40-1)</f>
        <v>-0.15000000000000002</v>
      </c>
      <c r="E46" s="17">
        <f>IF(C46="",40/B46-1,40/C46-1)</f>
        <v>0.17647058823529416</v>
      </c>
      <c r="F46" s="69">
        <v>3.6</v>
      </c>
    </row>
    <row r="47" spans="1:6" x14ac:dyDescent="0.25">
      <c r="A47" s="35" t="s">
        <v>13</v>
      </c>
      <c r="B47" s="52">
        <v>200</v>
      </c>
      <c r="C47" s="39"/>
      <c r="D47" s="22">
        <f>IF(C47="",B47/232-1,C47/232-1)</f>
        <v>-0.13793103448275867</v>
      </c>
      <c r="E47" s="17">
        <f>IF(C47="",232/B47-1,232/C47-1)</f>
        <v>0.15999999999999992</v>
      </c>
      <c r="F47" s="69">
        <v>1.3</v>
      </c>
    </row>
    <row r="48" spans="1:6" x14ac:dyDescent="0.25">
      <c r="A48" s="35" t="s">
        <v>71</v>
      </c>
      <c r="B48" s="52">
        <v>70</v>
      </c>
      <c r="C48" s="39"/>
      <c r="D48" s="22">
        <f>IF(C48="",B48/81-1,C48/81-1)</f>
        <v>-0.13580246913580252</v>
      </c>
      <c r="E48" s="17">
        <f>IF(C48="",81/B48-1,81/C48-1)</f>
        <v>0.15714285714285725</v>
      </c>
      <c r="F48" s="69">
        <v>2</v>
      </c>
    </row>
    <row r="49" spans="1:6" x14ac:dyDescent="0.25">
      <c r="A49" s="35" t="s">
        <v>80</v>
      </c>
      <c r="B49" s="52">
        <v>113</v>
      </c>
      <c r="C49" s="39"/>
      <c r="D49" s="22">
        <f>IF(C49="",B49/130-1,C49/130-1)</f>
        <v>-0.13076923076923075</v>
      </c>
      <c r="E49" s="17">
        <f>IF(C49="",130/B49-1,130/C49-1)</f>
        <v>0.15044247787610621</v>
      </c>
      <c r="F49" s="70" t="s">
        <v>120</v>
      </c>
    </row>
    <row r="50" spans="1:6" x14ac:dyDescent="0.25">
      <c r="A50" s="35" t="s">
        <v>27</v>
      </c>
      <c r="B50" s="52">
        <v>60</v>
      </c>
      <c r="C50" s="39"/>
      <c r="D50" s="22">
        <f>IF(C50="",B50/69-1,C50/69-1)</f>
        <v>-0.13043478260869568</v>
      </c>
      <c r="E50" s="17">
        <f>IF(C50="",69/B50-1,69/C50-1)</f>
        <v>0.14999999999999991</v>
      </c>
      <c r="F50" s="69">
        <v>2.8</v>
      </c>
    </row>
    <row r="51" spans="1:6" x14ac:dyDescent="0.25">
      <c r="A51" s="35" t="s">
        <v>61</v>
      </c>
      <c r="B51" s="52">
        <v>118</v>
      </c>
      <c r="C51" s="39"/>
      <c r="D51" s="22">
        <f>IF(C51="",B51/134-1,C51/134-1)</f>
        <v>-0.11940298507462688</v>
      </c>
      <c r="E51" s="17">
        <f>IF(C51="",134/B51-1,134/C51-1)</f>
        <v>0.13559322033898313</v>
      </c>
      <c r="F51" s="69">
        <v>2.8</v>
      </c>
    </row>
    <row r="52" spans="1:6" x14ac:dyDescent="0.25">
      <c r="A52" s="35" t="s">
        <v>6</v>
      </c>
      <c r="B52" s="52">
        <v>37</v>
      </c>
      <c r="C52" s="39"/>
      <c r="D52" s="22">
        <f>IF(C52="",B52/42-1,C52/42-1)</f>
        <v>-0.11904761904761907</v>
      </c>
      <c r="E52" s="17">
        <f>IF(C52="",42/B52-1,42/C52-1)</f>
        <v>0.13513513513513509</v>
      </c>
      <c r="F52" s="69">
        <v>7.6</v>
      </c>
    </row>
    <row r="53" spans="1:6" x14ac:dyDescent="0.25">
      <c r="A53" s="35" t="s">
        <v>26</v>
      </c>
      <c r="B53" s="52">
        <v>168</v>
      </c>
      <c r="C53" s="39"/>
      <c r="D53" s="53">
        <f>IF(C53="",B53/190-1,C53/190-1)</f>
        <v>-0.11578947368421055</v>
      </c>
      <c r="E53" s="17">
        <f>IF(C53="",190/B53-1,190/C53-1)</f>
        <v>0.13095238095238093</v>
      </c>
      <c r="F53" s="69">
        <v>0.9</v>
      </c>
    </row>
    <row r="54" spans="1:6" x14ac:dyDescent="0.25">
      <c r="A54" s="35" t="s">
        <v>35</v>
      </c>
      <c r="B54" s="52">
        <v>56</v>
      </c>
      <c r="C54" s="39"/>
      <c r="D54" s="53">
        <f>IF(C54="",B54/62-1,C54/62-1)</f>
        <v>-9.6774193548387122E-2</v>
      </c>
      <c r="E54" s="17">
        <f>IF(C54="",62/B54-1,62/C54-1)</f>
        <v>0.10714285714285721</v>
      </c>
      <c r="F54" s="69">
        <v>4</v>
      </c>
    </row>
    <row r="55" spans="1:6" x14ac:dyDescent="0.25">
      <c r="A55" s="35" t="s">
        <v>33</v>
      </c>
      <c r="B55" s="52">
        <v>39</v>
      </c>
      <c r="C55" s="39"/>
      <c r="D55" s="22">
        <f>IF(C55="",B55/43-1,C55/43-1)</f>
        <v>-9.3023255813953543E-2</v>
      </c>
      <c r="E55" s="17">
        <f>IF(C55="",43/B55-1,43/C55-1)</f>
        <v>0.10256410256410264</v>
      </c>
      <c r="F55" s="69">
        <v>2.5</v>
      </c>
    </row>
    <row r="56" spans="1:6" x14ac:dyDescent="0.25">
      <c r="A56" s="35" t="s">
        <v>60</v>
      </c>
      <c r="B56" s="52">
        <v>179</v>
      </c>
      <c r="C56" s="39"/>
      <c r="D56" s="22">
        <f>IF(C56="",B56/197-1,C56/197-1)</f>
        <v>-9.137055837563457E-2</v>
      </c>
      <c r="E56" s="17">
        <f>IF(C56="",197/B56-1,197/C56-1)</f>
        <v>0.1005586592178771</v>
      </c>
      <c r="F56" s="69">
        <v>1.7</v>
      </c>
    </row>
    <row r="57" spans="1:6" x14ac:dyDescent="0.25">
      <c r="A57" s="35" t="s">
        <v>77</v>
      </c>
      <c r="B57" s="52">
        <v>50</v>
      </c>
      <c r="C57" s="39"/>
      <c r="D57" s="22">
        <f>IF(C57="",B57/55-1,C57/55-1)</f>
        <v>-9.0909090909090939E-2</v>
      </c>
      <c r="E57" s="17">
        <f>IF(C57="",55/B57-1,55/C57-1)</f>
        <v>0.10000000000000009</v>
      </c>
      <c r="F57" s="69">
        <v>3.3</v>
      </c>
    </row>
    <row r="58" spans="1:6" x14ac:dyDescent="0.25">
      <c r="A58" s="35" t="s">
        <v>49</v>
      </c>
      <c r="B58" s="52">
        <v>182</v>
      </c>
      <c r="C58" s="39"/>
      <c r="D58" s="22">
        <f>IF(C58="",B58/200-1,C58/200-1)</f>
        <v>-8.9999999999999969E-2</v>
      </c>
      <c r="E58" s="17">
        <f>IF(C58="",200/B58-1,200/C58-1)</f>
        <v>9.8901098901098994E-2</v>
      </c>
      <c r="F58" s="69">
        <v>2.2999999999999998</v>
      </c>
    </row>
    <row r="59" spans="1:6" x14ac:dyDescent="0.25">
      <c r="A59" s="35" t="s">
        <v>2</v>
      </c>
      <c r="B59" s="52">
        <v>140</v>
      </c>
      <c r="C59" s="39"/>
      <c r="D59" s="22">
        <f>IF(C59="",B59/151-1,C59/151-1)</f>
        <v>-7.2847682119205337E-2</v>
      </c>
      <c r="E59" s="17">
        <f>IF(C59="",151/B59-1,151/C59-1)</f>
        <v>7.8571428571428514E-2</v>
      </c>
      <c r="F59" s="69">
        <v>3.5</v>
      </c>
    </row>
    <row r="60" spans="1:6" x14ac:dyDescent="0.25">
      <c r="A60" s="35" t="s">
        <v>43</v>
      </c>
      <c r="B60" s="52">
        <v>129</v>
      </c>
      <c r="C60" s="39"/>
      <c r="D60" s="22">
        <f>IF(C60="",B60/139-1,C60/139-1)</f>
        <v>-7.1942446043165464E-2</v>
      </c>
      <c r="E60" s="17">
        <f>IF(C60="",139/B60-1,139/C60-1)</f>
        <v>7.7519379844961156E-2</v>
      </c>
      <c r="F60" s="69">
        <v>2.6</v>
      </c>
    </row>
    <row r="61" spans="1:6" x14ac:dyDescent="0.25">
      <c r="A61" s="35" t="s">
        <v>66</v>
      </c>
      <c r="B61" s="52">
        <v>297</v>
      </c>
      <c r="C61" s="39"/>
      <c r="D61" s="22">
        <f>IF(C61="",B61/319-1,C61/319-1)</f>
        <v>-6.8965517241379337E-2</v>
      </c>
      <c r="E61" s="17">
        <f>IF(C61="",319/B61-1,319/C61-1)</f>
        <v>7.4074074074074181E-2</v>
      </c>
      <c r="F61" s="69">
        <v>2.8</v>
      </c>
    </row>
    <row r="62" spans="1:6" x14ac:dyDescent="0.25">
      <c r="A62" s="35" t="s">
        <v>14</v>
      </c>
      <c r="B62" s="52">
        <v>98</v>
      </c>
      <c r="C62" s="39"/>
      <c r="D62" s="22">
        <f>IF(C62="",B62/105-1,C62/105-1)</f>
        <v>-6.6666666666666652E-2</v>
      </c>
      <c r="E62" s="17">
        <f>IF(C62="",105/B62-1,105/C62-1)</f>
        <v>7.1428571428571397E-2</v>
      </c>
      <c r="F62" s="69">
        <v>0.7</v>
      </c>
    </row>
    <row r="63" spans="1:6" x14ac:dyDescent="0.25">
      <c r="A63" s="35" t="s">
        <v>37</v>
      </c>
      <c r="B63" s="52">
        <v>88</v>
      </c>
      <c r="C63" s="39"/>
      <c r="D63" s="22">
        <f>IF(C63="",B63/94-1,C63/94-1)</f>
        <v>-6.3829787234042534E-2</v>
      </c>
      <c r="E63" s="17">
        <f>IF(C63="",94/B63-1,94/C63-1)</f>
        <v>6.8181818181818121E-2</v>
      </c>
      <c r="F63" s="70">
        <v>2.1</v>
      </c>
    </row>
    <row r="64" spans="1:6" x14ac:dyDescent="0.25">
      <c r="A64" s="35" t="s">
        <v>45</v>
      </c>
      <c r="B64" s="52">
        <v>7257</v>
      </c>
      <c r="C64" s="39"/>
      <c r="D64" s="22">
        <f>IF(C64="",B64/7718-1,C64/7718-1)</f>
        <v>-5.9730500129567266E-2</v>
      </c>
      <c r="E64" s="17">
        <f>IF(C64="",7718/B64-1,7718/C64-1)</f>
        <v>6.3524872536860899E-2</v>
      </c>
      <c r="F64" s="69">
        <v>2.2000000000000002</v>
      </c>
    </row>
    <row r="65" spans="1:6" x14ac:dyDescent="0.25">
      <c r="A65" s="35" t="s">
        <v>15</v>
      </c>
      <c r="B65" s="52">
        <v>19</v>
      </c>
      <c r="C65" s="39"/>
      <c r="D65" s="22">
        <f>IF(C65="",B65/20-1,C65/20-1)</f>
        <v>-5.0000000000000044E-2</v>
      </c>
      <c r="E65" s="17">
        <f>IF(C65="",20/B65-1,20/C65-1)</f>
        <v>5.2631578947368363E-2</v>
      </c>
      <c r="F65" s="69">
        <v>5.8</v>
      </c>
    </row>
    <row r="66" spans="1:6" x14ac:dyDescent="0.25">
      <c r="A66" s="35" t="s">
        <v>53</v>
      </c>
      <c r="B66" s="52">
        <v>237</v>
      </c>
      <c r="C66" s="39"/>
      <c r="D66" s="22">
        <f>IF(C66="",B66/249-1,C66/249-1)</f>
        <v>-4.8192771084337394E-2</v>
      </c>
      <c r="E66" s="17">
        <f>IF(C66="",249/B66-1,249/C66-1)</f>
        <v>5.0632911392405111E-2</v>
      </c>
      <c r="F66" s="69">
        <v>2</v>
      </c>
    </row>
    <row r="67" spans="1:6" x14ac:dyDescent="0.25">
      <c r="A67" s="35" t="s">
        <v>17</v>
      </c>
      <c r="B67" s="52">
        <v>62</v>
      </c>
      <c r="C67" s="39"/>
      <c r="D67" s="22">
        <f>IF(C67="",B67/65-1,C67/65-1)</f>
        <v>-4.6153846153846101E-2</v>
      </c>
      <c r="E67" s="17">
        <f>IF(C67="",65/B67-1,65/C67-1)</f>
        <v>4.8387096774193505E-2</v>
      </c>
      <c r="F67" s="69">
        <v>0.9</v>
      </c>
    </row>
    <row r="68" spans="1:6" x14ac:dyDescent="0.25">
      <c r="A68" s="35" t="s">
        <v>21</v>
      </c>
      <c r="B68" s="52">
        <v>67</v>
      </c>
      <c r="C68" s="39"/>
      <c r="D68" s="22">
        <f>IF(C68="",B68/70-1,C68/70-1)</f>
        <v>-4.2857142857142816E-2</v>
      </c>
      <c r="E68" s="17">
        <f>IF(C68="",70/B68-1,70/C68-1)</f>
        <v>4.4776119402984982E-2</v>
      </c>
      <c r="F68" s="69">
        <v>2.2000000000000002</v>
      </c>
    </row>
    <row r="69" spans="1:6" x14ac:dyDescent="0.25">
      <c r="A69" s="35" t="s">
        <v>59</v>
      </c>
      <c r="B69" s="52">
        <v>49</v>
      </c>
      <c r="C69" s="39"/>
      <c r="D69" s="53">
        <f>IF(C69="",B69/51-1,C69/51-1)</f>
        <v>-3.9215686274509776E-2</v>
      </c>
      <c r="E69" s="17">
        <f>IF(C69="",51/B69-1,51/C69-1)</f>
        <v>4.081632653061229E-2</v>
      </c>
      <c r="F69" s="69">
        <v>1.7</v>
      </c>
    </row>
    <row r="70" spans="1:6" x14ac:dyDescent="0.25">
      <c r="A70" s="35" t="s">
        <v>9</v>
      </c>
      <c r="B70" s="52">
        <v>101</v>
      </c>
      <c r="C70" s="39"/>
      <c r="D70" s="22">
        <f>IF(C70="",B70/105-1,C70/105-1)</f>
        <v>-3.8095238095238071E-2</v>
      </c>
      <c r="E70" s="17">
        <f>IF(C70="",105/B70-1,105/C70-1)</f>
        <v>3.9603960396039639E-2</v>
      </c>
      <c r="F70" s="69">
        <v>1.2</v>
      </c>
    </row>
    <row r="71" spans="1:6" x14ac:dyDescent="0.25">
      <c r="A71" s="35" t="s">
        <v>56</v>
      </c>
      <c r="B71" s="52">
        <v>56</v>
      </c>
      <c r="C71" s="39"/>
      <c r="D71" s="17">
        <f>IF(C71="",B71/58-1,C71/58-1)</f>
        <v>-3.4482758620689613E-2</v>
      </c>
      <c r="E71" s="17">
        <f>IF(C71="",58/B71-1,58/C71-1)</f>
        <v>3.5714285714285809E-2</v>
      </c>
      <c r="F71" s="69">
        <v>2.1</v>
      </c>
    </row>
    <row r="72" spans="1:6" x14ac:dyDescent="0.25">
      <c r="A72" s="35" t="s">
        <v>47</v>
      </c>
      <c r="B72" s="52">
        <v>298</v>
      </c>
      <c r="C72" s="39"/>
      <c r="D72" s="22">
        <f>IF(C72="",B72/307-1,C72/307-1)</f>
        <v>-2.931596091205213E-2</v>
      </c>
      <c r="E72" s="17">
        <f>IF(C72="",307/B72-1,307/C72-1)</f>
        <v>3.0201342281879207E-2</v>
      </c>
      <c r="F72" s="69">
        <v>0.4</v>
      </c>
    </row>
    <row r="73" spans="1:6" x14ac:dyDescent="0.25">
      <c r="A73" s="35" t="s">
        <v>41</v>
      </c>
      <c r="B73" s="52">
        <v>169</v>
      </c>
      <c r="C73" s="39"/>
      <c r="D73" s="22">
        <f>IF(C73="",B73/174-1,C73/174-1)</f>
        <v>-2.8735632183908066E-2</v>
      </c>
      <c r="E73" s="17">
        <f>IF(C73="",174/B73-1,174/C73-1)</f>
        <v>2.9585798816567976E-2</v>
      </c>
      <c r="F73" s="69">
        <v>2.1</v>
      </c>
    </row>
    <row r="74" spans="1:6" x14ac:dyDescent="0.25">
      <c r="A74" s="35" t="s">
        <v>57</v>
      </c>
      <c r="B74" s="52">
        <v>49</v>
      </c>
      <c r="C74" s="39"/>
      <c r="D74" s="17">
        <f>IF(C74="",B74/50-1,C74/50-1)</f>
        <v>-2.0000000000000018E-2</v>
      </c>
      <c r="E74" s="17">
        <f>IF(C74="",50/B74-1,50/C74-1)</f>
        <v>2.0408163265306145E-2</v>
      </c>
      <c r="F74" s="69">
        <v>1.4</v>
      </c>
    </row>
    <row r="75" spans="1:6" x14ac:dyDescent="0.25">
      <c r="A75" s="35" t="s">
        <v>5</v>
      </c>
      <c r="B75" s="52">
        <v>1386</v>
      </c>
      <c r="C75" s="39"/>
      <c r="D75" s="22">
        <f>IF(C75="",B75/1397-1,C75/1397-1)</f>
        <v>-7.8740157480314821E-3</v>
      </c>
      <c r="E75" s="17">
        <f>IF(C75="",1397/B75-1,1397/C75-1)</f>
        <v>7.9365079365079083E-3</v>
      </c>
      <c r="F75" s="70" t="s">
        <v>120</v>
      </c>
    </row>
    <row r="76" spans="1:6" x14ac:dyDescent="0.25">
      <c r="A76" s="35" t="s">
        <v>40</v>
      </c>
      <c r="B76" s="52">
        <v>44</v>
      </c>
      <c r="C76" s="39"/>
      <c r="D76" s="17">
        <f>IF(C76="",B76/44-1,C76/44-1)</f>
        <v>0</v>
      </c>
      <c r="E76" s="17">
        <f>IF(C76="",44/B76-1,44/C76-1)</f>
        <v>0</v>
      </c>
      <c r="F76" s="69">
        <v>1.8</v>
      </c>
    </row>
    <row r="77" spans="1:6" x14ac:dyDescent="0.25">
      <c r="A77" s="35" t="s">
        <v>54</v>
      </c>
      <c r="B77" s="52">
        <v>95</v>
      </c>
      <c r="C77" s="39"/>
      <c r="D77" s="17">
        <f>IF(C77="",B77/95-1,C77/95-1)</f>
        <v>0</v>
      </c>
      <c r="E77" s="17">
        <f>IF(C77="",95/B77-1,95/C77-1)</f>
        <v>0</v>
      </c>
      <c r="F77" s="69">
        <v>0.9</v>
      </c>
    </row>
    <row r="78" spans="1:6" x14ac:dyDescent="0.25">
      <c r="A78" s="35" t="s">
        <v>8</v>
      </c>
      <c r="B78" s="52">
        <v>213</v>
      </c>
      <c r="C78" s="39"/>
      <c r="D78" s="17">
        <f>IF(C78="",B78/209-1,C78/209-1)</f>
        <v>1.9138755980861344E-2</v>
      </c>
      <c r="E78" s="17">
        <f>IF(C78="",209/B78-1,209/C78-1)</f>
        <v>-1.8779342723004744E-2</v>
      </c>
      <c r="F78" s="69">
        <v>2.5</v>
      </c>
    </row>
    <row r="79" spans="1:6" x14ac:dyDescent="0.25">
      <c r="A79" s="35" t="s">
        <v>52</v>
      </c>
      <c r="B79" s="52">
        <v>103</v>
      </c>
      <c r="C79" s="39"/>
      <c r="D79" s="17">
        <f>IF(C79="",B79/101-1,C79/101-1)</f>
        <v>1.980198019801982E-2</v>
      </c>
      <c r="E79" s="17">
        <f>IF(C79="",101/B79-1,101/C79-1)</f>
        <v>-1.9417475728155331E-2</v>
      </c>
      <c r="F79" s="69">
        <v>2.4</v>
      </c>
    </row>
    <row r="80" spans="1:6" x14ac:dyDescent="0.25">
      <c r="A80" s="35" t="s">
        <v>4</v>
      </c>
      <c r="B80" s="52">
        <v>142</v>
      </c>
      <c r="C80" s="39"/>
      <c r="D80" s="17">
        <f>IF(C80="",B80/139-1,C80/139-1)</f>
        <v>2.1582733812949728E-2</v>
      </c>
      <c r="E80" s="17">
        <f>IF(C80="",139/B80-1,139/C80-1)</f>
        <v>-2.1126760563380254E-2</v>
      </c>
      <c r="F80" s="69">
        <v>1.9</v>
      </c>
    </row>
    <row r="81" spans="1:10" x14ac:dyDescent="0.25">
      <c r="A81" s="35" t="s">
        <v>63</v>
      </c>
      <c r="B81" s="52">
        <v>118</v>
      </c>
      <c r="C81" s="39"/>
      <c r="D81" s="17">
        <f>IF(C81="",B81/114-1,C81/114-1)</f>
        <v>3.5087719298245723E-2</v>
      </c>
      <c r="E81" s="17">
        <f>IF(C81="",114/B81-1,114/C81-1)</f>
        <v>-3.3898305084745783E-2</v>
      </c>
      <c r="F81" s="69">
        <v>2.2000000000000002</v>
      </c>
    </row>
    <row r="82" spans="1:10" x14ac:dyDescent="0.25">
      <c r="A82" s="35" t="s">
        <v>46</v>
      </c>
      <c r="B82" s="52">
        <v>282</v>
      </c>
      <c r="C82" s="39"/>
      <c r="D82" s="17">
        <f>IF(C82="",B82/271-1,C82/271-1)</f>
        <v>4.0590405904058935E-2</v>
      </c>
      <c r="E82" s="17">
        <f>IF(C82="",271/B82-1,271/C82-1)</f>
        <v>-3.9007092198581561E-2</v>
      </c>
      <c r="F82" s="69">
        <v>1.4</v>
      </c>
    </row>
    <row r="83" spans="1:10" x14ac:dyDescent="0.25">
      <c r="A83" s="35" t="s">
        <v>44</v>
      </c>
      <c r="B83" s="52">
        <v>214</v>
      </c>
      <c r="C83" s="39"/>
      <c r="D83" s="17">
        <f>IF(C83="",B83/200-1,C83/200-1)</f>
        <v>7.0000000000000062E-2</v>
      </c>
      <c r="E83" s="17">
        <f>IF(C83="",200/B83-1,200/C83-1)</f>
        <v>-6.5420560747663559E-2</v>
      </c>
      <c r="F83" s="69">
        <v>1.5</v>
      </c>
    </row>
    <row r="84" spans="1:10" x14ac:dyDescent="0.25">
      <c r="A84" s="35" t="s">
        <v>51</v>
      </c>
      <c r="B84" s="52">
        <v>187</v>
      </c>
      <c r="C84" s="39"/>
      <c r="D84" s="17">
        <f>IF(C84="",B84/170-1,C84/170-1)</f>
        <v>0.10000000000000009</v>
      </c>
      <c r="E84" s="17">
        <f>IF(C84="",170/B84-1,170/C84-1)</f>
        <v>-9.0909090909090939E-2</v>
      </c>
      <c r="F84" s="69">
        <v>0.9</v>
      </c>
    </row>
    <row r="85" spans="1:10" x14ac:dyDescent="0.25">
      <c r="A85" s="35" t="s">
        <v>39</v>
      </c>
      <c r="B85" s="52">
        <v>246</v>
      </c>
      <c r="C85" s="39"/>
      <c r="D85" s="17">
        <f>IF(C85="",B85/222-1,C85/222-1)</f>
        <v>0.10810810810810811</v>
      </c>
      <c r="E85" s="17">
        <f>IF(C85="",222/B85-1,222/C85-1)</f>
        <v>-9.7560975609756073E-2</v>
      </c>
      <c r="F85" s="70">
        <v>2</v>
      </c>
    </row>
    <row r="86" spans="1:10" x14ac:dyDescent="0.25">
      <c r="A86" s="35" t="s">
        <v>69</v>
      </c>
      <c r="B86" s="52">
        <v>141</v>
      </c>
      <c r="C86" s="39"/>
      <c r="D86" s="17">
        <f>IF(C86="",B86/127-1,C86/127-1)</f>
        <v>0.11023622047244097</v>
      </c>
      <c r="E86" s="17">
        <f>IF(C86="",127/B86-1,127/C86-1)</f>
        <v>-9.9290780141844004E-2</v>
      </c>
      <c r="F86" s="69">
        <v>1.1000000000000001</v>
      </c>
    </row>
    <row r="87" spans="1:10" x14ac:dyDescent="0.25">
      <c r="A87" s="35" t="s">
        <v>75</v>
      </c>
      <c r="B87" s="52">
        <v>344</v>
      </c>
      <c r="C87" s="39"/>
      <c r="D87" s="17">
        <f>IF(C87="",B87/308-1,C87/308-1)</f>
        <v>0.11688311688311681</v>
      </c>
      <c r="E87" s="17">
        <f>IF(C87="",308/B87-1,308/C87-1)</f>
        <v>-0.10465116279069764</v>
      </c>
      <c r="F87" s="69">
        <v>0.2</v>
      </c>
    </row>
    <row r="88" spans="1:10" x14ac:dyDescent="0.25">
      <c r="A88" s="35" t="s">
        <v>22</v>
      </c>
      <c r="B88" s="52">
        <v>141</v>
      </c>
      <c r="C88" s="39"/>
      <c r="D88" s="17">
        <f>IF(C88="",B88/126-1,C88/126-1)</f>
        <v>0.11904761904761907</v>
      </c>
      <c r="E88" s="17">
        <f>IF(C88="",126/B88-1,126/C88-1)</f>
        <v>-0.1063829787234043</v>
      </c>
      <c r="F88" s="69">
        <v>1.6</v>
      </c>
    </row>
    <row r="89" spans="1:10" x14ac:dyDescent="0.25">
      <c r="A89" s="35" t="s">
        <v>34</v>
      </c>
      <c r="B89" s="52">
        <v>55</v>
      </c>
      <c r="C89" s="39"/>
      <c r="D89" s="17">
        <f>IF(C89="",B89/49-1,C89/49-1)</f>
        <v>0.12244897959183665</v>
      </c>
      <c r="E89" s="17">
        <f>IF(C89="",49/B89-1,49/C89-1)</f>
        <v>-0.10909090909090913</v>
      </c>
      <c r="F89" s="69">
        <v>3</v>
      </c>
    </row>
    <row r="90" spans="1:10" x14ac:dyDescent="0.25">
      <c r="A90" s="35" t="s">
        <v>24</v>
      </c>
      <c r="B90" s="52">
        <v>170</v>
      </c>
      <c r="C90" s="39"/>
      <c r="D90" s="17">
        <f>IF(C90="",B90/151-1,C90/151-1)</f>
        <v>0.1258278145695364</v>
      </c>
      <c r="E90" s="17">
        <f>IF(C90="",151/B90-1,151/C90-1)</f>
        <v>-0.11176470588235299</v>
      </c>
      <c r="F90" s="69">
        <v>0.3</v>
      </c>
      <c r="J90" s="17"/>
    </row>
    <row r="91" spans="1:10" x14ac:dyDescent="0.25">
      <c r="A91" s="35" t="s">
        <v>38</v>
      </c>
      <c r="B91" s="52">
        <v>61</v>
      </c>
      <c r="C91" s="39"/>
      <c r="D91" s="17">
        <f>IF(C91="",B91/54-1,C91/54-1)</f>
        <v>0.12962962962962954</v>
      </c>
      <c r="E91" s="17">
        <f>IF(C91="",54/B91-1,54/C91-1)</f>
        <v>-0.11475409836065575</v>
      </c>
      <c r="F91" s="70" t="s">
        <v>101</v>
      </c>
    </row>
    <row r="92" spans="1:10" x14ac:dyDescent="0.25">
      <c r="A92" s="35" t="s">
        <v>65</v>
      </c>
      <c r="B92" s="52">
        <v>86</v>
      </c>
      <c r="C92" s="39"/>
      <c r="D92" s="17">
        <f>IF(C92="",B92/76-1,C92/76-1)</f>
        <v>0.13157894736842102</v>
      </c>
      <c r="E92" s="17">
        <f>IF(C92="",76/B92-1,76/C92-1)</f>
        <v>-0.11627906976744184</v>
      </c>
      <c r="F92" s="69">
        <v>2.2999999999999998</v>
      </c>
    </row>
    <row r="93" spans="1:10" x14ac:dyDescent="0.25">
      <c r="A93" s="35" t="s">
        <v>48</v>
      </c>
      <c r="B93" s="52">
        <v>175</v>
      </c>
      <c r="C93" s="39"/>
      <c r="D93" s="17">
        <f>IF(C93="",B93/152-1,C93/152-1)</f>
        <v>0.15131578947368429</v>
      </c>
      <c r="E93" s="17">
        <f>IF(C93="",152/B93-1,152/C93-1)</f>
        <v>-0.13142857142857145</v>
      </c>
      <c r="F93" s="69">
        <v>1.2</v>
      </c>
      <c r="J93" s="10"/>
    </row>
    <row r="94" spans="1:10" x14ac:dyDescent="0.25">
      <c r="A94" s="35" t="s">
        <v>18</v>
      </c>
      <c r="B94" s="52">
        <v>82</v>
      </c>
      <c r="C94" s="39"/>
      <c r="D94" s="17">
        <f>IF(C94="",B94/70-1,C94/70-1)</f>
        <v>0.17142857142857149</v>
      </c>
      <c r="E94" s="17">
        <f>IF(C94="",70/B94-1,70/C94-1)</f>
        <v>-0.14634146341463417</v>
      </c>
      <c r="F94" s="69">
        <v>1</v>
      </c>
    </row>
    <row r="95" spans="1:10" x14ac:dyDescent="0.25">
      <c r="A95" s="35" t="s">
        <v>73</v>
      </c>
      <c r="B95" s="52">
        <v>66</v>
      </c>
      <c r="C95" s="39"/>
      <c r="D95" s="17">
        <f>IF(C95="",B95/56-1,C95/56-1)</f>
        <v>0.1785714285714286</v>
      </c>
      <c r="E95" s="17">
        <f>IF(C95="",56/B95-1,56/C95-1)</f>
        <v>-0.15151515151515149</v>
      </c>
      <c r="F95" s="69">
        <v>1.8</v>
      </c>
    </row>
    <row r="96" spans="1:10" x14ac:dyDescent="0.25">
      <c r="A96" s="35" t="s">
        <v>29</v>
      </c>
      <c r="B96" s="52">
        <v>704</v>
      </c>
      <c r="C96" s="39"/>
      <c r="D96" s="17">
        <f>IF(C96="",B96/481-1,C96/481-1)</f>
        <v>0.4636174636174637</v>
      </c>
      <c r="E96" s="17">
        <f>IF(C96="",481/B96-1,481/C96-1)</f>
        <v>-0.31676136363636365</v>
      </c>
      <c r="F96" s="70" t="s">
        <v>120</v>
      </c>
    </row>
    <row r="97" spans="1:6" ht="15.75" thickBot="1" x14ac:dyDescent="0.3">
      <c r="A97" s="36" t="s">
        <v>7</v>
      </c>
      <c r="B97" s="68">
        <v>2912</v>
      </c>
      <c r="C97" s="40"/>
      <c r="D97" s="14">
        <f>IF(C97="",B97/1986-1,C97/1986-1)</f>
        <v>0.46626384692849943</v>
      </c>
      <c r="E97" s="14">
        <f>IF(C97="",1986/B97-1,1986/C97-1)</f>
        <v>-0.31799450549450547</v>
      </c>
      <c r="F97" s="71" t="s">
        <v>120</v>
      </c>
    </row>
    <row r="100" spans="1:6" x14ac:dyDescent="0.25">
      <c r="B100"/>
      <c r="C100"/>
      <c r="D100"/>
      <c r="E100"/>
      <c r="F100"/>
    </row>
    <row r="101" spans="1:6" x14ac:dyDescent="0.25">
      <c r="B101"/>
      <c r="C101"/>
      <c r="D101"/>
      <c r="E101"/>
      <c r="F101"/>
    </row>
    <row r="102" spans="1:6" x14ac:dyDescent="0.25">
      <c r="B102"/>
      <c r="C102"/>
      <c r="D102"/>
      <c r="E102"/>
      <c r="F102"/>
    </row>
    <row r="103" spans="1:6" x14ac:dyDescent="0.25">
      <c r="B103"/>
      <c r="C103"/>
      <c r="D103"/>
      <c r="E103"/>
      <c r="F103"/>
    </row>
    <row r="104" spans="1:6" x14ac:dyDescent="0.25">
      <c r="B104"/>
      <c r="C104"/>
      <c r="D104"/>
      <c r="E104"/>
      <c r="F104"/>
    </row>
    <row r="105" spans="1:6" x14ac:dyDescent="0.25">
      <c r="B105"/>
      <c r="C105"/>
      <c r="D105"/>
      <c r="E105"/>
      <c r="F105"/>
    </row>
    <row r="106" spans="1:6" x14ac:dyDescent="0.25">
      <c r="B106"/>
      <c r="C106"/>
      <c r="D106"/>
      <c r="E106"/>
      <c r="F106"/>
    </row>
    <row r="107" spans="1:6" x14ac:dyDescent="0.25">
      <c r="B107"/>
      <c r="C107"/>
      <c r="D107"/>
      <c r="E107"/>
      <c r="F107"/>
    </row>
  </sheetData>
  <sortState ref="A9:E10">
    <sortCondition descending="1" ref="E9:E10"/>
  </sortState>
  <mergeCells count="3">
    <mergeCell ref="B5:F6"/>
    <mergeCell ref="B7:B8"/>
    <mergeCell ref="B12:B13"/>
  </mergeCells>
  <conditionalFormatting sqref="A14:A97">
    <cfRule type="expression" dxfId="78" priority="48">
      <formula>MOD(ROW(),2)</formula>
    </cfRule>
  </conditionalFormatting>
  <conditionalFormatting sqref="E14:F97 E10:F11 F9">
    <cfRule type="cellIs" dxfId="77" priority="46" operator="lessThan">
      <formula>0</formula>
    </cfRule>
    <cfRule type="expression" dxfId="76" priority="47" stopIfTrue="1">
      <formula>$I:$I&lt;0%</formula>
    </cfRule>
  </conditionalFormatting>
  <conditionalFormatting sqref="B14:F97">
    <cfRule type="expression" dxfId="75" priority="45">
      <formula>MOD(ROW(),2)</formula>
    </cfRule>
  </conditionalFormatting>
  <conditionalFormatting sqref="D94:D97">
    <cfRule type="cellIs" dxfId="74" priority="43" operator="lessThan">
      <formula>0</formula>
    </cfRule>
    <cfRule type="expression" dxfId="73" priority="44" stopIfTrue="1">
      <formula>$I:$I&lt;0%</formula>
    </cfRule>
  </conditionalFormatting>
  <conditionalFormatting sqref="D92">
    <cfRule type="cellIs" dxfId="72" priority="41" operator="lessThan">
      <formula>0</formula>
    </cfRule>
    <cfRule type="expression" dxfId="71" priority="42" stopIfTrue="1">
      <formula>$I:$I&lt;0%</formula>
    </cfRule>
  </conditionalFormatting>
  <conditionalFormatting sqref="D94">
    <cfRule type="cellIs" dxfId="70" priority="39" operator="lessThan">
      <formula>0</formula>
    </cfRule>
    <cfRule type="expression" dxfId="69" priority="40" stopIfTrue="1">
      <formula>$I:$I&lt;0%</formula>
    </cfRule>
  </conditionalFormatting>
  <conditionalFormatting sqref="D91">
    <cfRule type="cellIs" dxfId="68" priority="37" operator="lessThan">
      <formula>0</formula>
    </cfRule>
    <cfRule type="expression" dxfId="67" priority="38" stopIfTrue="1">
      <formula>$I:$I&lt;0%</formula>
    </cfRule>
  </conditionalFormatting>
  <conditionalFormatting sqref="D91:D97">
    <cfRule type="cellIs" dxfId="66" priority="35" operator="lessThan">
      <formula>0</formula>
    </cfRule>
    <cfRule type="expression" dxfId="65" priority="36" stopIfTrue="1">
      <formula>$I:$I&lt;0%</formula>
    </cfRule>
  </conditionalFormatting>
  <conditionalFormatting sqref="E10">
    <cfRule type="expression" dxfId="64" priority="34">
      <formula>MOD(ROW(),2)</formula>
    </cfRule>
  </conditionalFormatting>
  <conditionalFormatting sqref="D63">
    <cfRule type="cellIs" dxfId="63" priority="32" operator="lessThan">
      <formula>0</formula>
    </cfRule>
    <cfRule type="expression" dxfId="62" priority="33" stopIfTrue="1">
      <formula>$I:$I&lt;0%</formula>
    </cfRule>
  </conditionalFormatting>
  <conditionalFormatting sqref="D64">
    <cfRule type="cellIs" dxfId="61" priority="30" operator="lessThan">
      <formula>0</formula>
    </cfRule>
    <cfRule type="expression" dxfId="60" priority="31" stopIfTrue="1">
      <formula>$I:$I&lt;0%</formula>
    </cfRule>
  </conditionalFormatting>
  <conditionalFormatting sqref="D66:D68">
    <cfRule type="cellIs" dxfId="59" priority="28" operator="lessThan">
      <formula>0</formula>
    </cfRule>
    <cfRule type="expression" dxfId="58" priority="29" stopIfTrue="1">
      <formula>$I:$I&lt;0%</formula>
    </cfRule>
  </conditionalFormatting>
  <conditionalFormatting sqref="D71:D91">
    <cfRule type="cellIs" dxfId="57" priority="26" operator="lessThan">
      <formula>0</formula>
    </cfRule>
    <cfRule type="expression" dxfId="56" priority="27" stopIfTrue="1">
      <formula>$I:$I&lt;0%</formula>
    </cfRule>
  </conditionalFormatting>
  <conditionalFormatting sqref="D90:D91">
    <cfRule type="cellIs" dxfId="55" priority="24" operator="lessThan">
      <formula>0</formula>
    </cfRule>
    <cfRule type="expression" dxfId="54" priority="25" stopIfTrue="1">
      <formula>$I:$I&lt;0%</formula>
    </cfRule>
  </conditionalFormatting>
  <conditionalFormatting sqref="D94 D96">
    <cfRule type="cellIs" dxfId="53" priority="22" operator="lessThan">
      <formula>0</formula>
    </cfRule>
    <cfRule type="expression" dxfId="52" priority="23" stopIfTrue="1">
      <formula>$I:$I&lt;0%</formula>
    </cfRule>
  </conditionalFormatting>
  <conditionalFormatting sqref="D93:D97">
    <cfRule type="cellIs" dxfId="51" priority="20" operator="lessThan">
      <formula>0</formula>
    </cfRule>
    <cfRule type="expression" dxfId="50" priority="21" stopIfTrue="1">
      <formula>$I:$I&lt;0%</formula>
    </cfRule>
  </conditionalFormatting>
  <conditionalFormatting sqref="D9:E9">
    <cfRule type="cellIs" dxfId="49" priority="16" operator="lessThan">
      <formula>0</formula>
    </cfRule>
    <cfRule type="expression" dxfId="48" priority="17" stopIfTrue="1">
      <formula>$I:$I&lt;0%</formula>
    </cfRule>
  </conditionalFormatting>
  <conditionalFormatting sqref="D82:D84">
    <cfRule type="cellIs" dxfId="47" priority="14" operator="lessThan">
      <formula>0</formula>
    </cfRule>
    <cfRule type="expression" dxfId="46" priority="15" stopIfTrue="1">
      <formula>$I:$I&lt;0%</formula>
    </cfRule>
  </conditionalFormatting>
  <conditionalFormatting sqref="D69">
    <cfRule type="cellIs" dxfId="45" priority="12" operator="lessThan">
      <formula>0</formula>
    </cfRule>
    <cfRule type="expression" dxfId="44" priority="13" stopIfTrue="1">
      <formula>$I:$I&lt;0%</formula>
    </cfRule>
  </conditionalFormatting>
  <conditionalFormatting sqref="D10">
    <cfRule type="cellIs" dxfId="43" priority="10" operator="lessThan">
      <formula>0</formula>
    </cfRule>
    <cfRule type="expression" dxfId="42" priority="11" stopIfTrue="1">
      <formula>$I:$I&lt;0%</formula>
    </cfRule>
  </conditionalFormatting>
  <conditionalFormatting sqref="D70">
    <cfRule type="cellIs" dxfId="41" priority="8" operator="lessThan">
      <formula>0</formula>
    </cfRule>
    <cfRule type="expression" dxfId="40" priority="9" stopIfTrue="1">
      <formula>$I:$I&lt;0%</formula>
    </cfRule>
  </conditionalFormatting>
  <conditionalFormatting sqref="E14:E9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{47035789-E181-440C-92B4-992A848ADA63}</x14:id>
        </ext>
      </extLst>
    </cfRule>
  </conditionalFormatting>
  <conditionalFormatting sqref="D14:D9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{0F34B77C-5506-425B-AF12-7F8E489419E6}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35789-E181-440C-92B4-992A848ADA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E14:E97</xm:sqref>
        </x14:conditionalFormatting>
        <x14:conditionalFormatting xmlns:xm="http://schemas.microsoft.com/office/excel/2006/main">
          <x14:cfRule type="dataBar" id="{0F34B77C-5506-425B-AF12-7F8E489419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D14:D97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25" workbookViewId="0">
      <selection activeCell="K6" sqref="K6"/>
    </sheetView>
  </sheetViews>
  <sheetFormatPr baseColWidth="10" defaultRowHeight="15" x14ac:dyDescent="0.25"/>
  <cols>
    <col min="1" max="1" width="34.28515625" customWidth="1"/>
    <col min="5" max="5" width="15.28515625" customWidth="1"/>
  </cols>
  <sheetData>
    <row r="1" spans="1:5" ht="36" x14ac:dyDescent="0.55000000000000004">
      <c r="A1" s="9" t="s">
        <v>95</v>
      </c>
    </row>
    <row r="4" spans="1:5" ht="24" thickBot="1" x14ac:dyDescent="0.4">
      <c r="A4" s="26"/>
      <c r="B4" s="41" t="s">
        <v>105</v>
      </c>
      <c r="C4" s="41"/>
      <c r="D4" s="41"/>
      <c r="E4" s="41"/>
    </row>
    <row r="5" spans="1:5" x14ac:dyDescent="0.25">
      <c r="A5" s="26"/>
      <c r="B5" s="54" t="s">
        <v>110</v>
      </c>
      <c r="C5" s="55"/>
      <c r="D5" s="55"/>
      <c r="E5" s="56"/>
    </row>
    <row r="6" spans="1:5" ht="15.75" thickBot="1" x14ac:dyDescent="0.3">
      <c r="A6" s="26"/>
      <c r="B6" s="57"/>
      <c r="C6" s="58"/>
      <c r="D6" s="58"/>
      <c r="E6" s="59"/>
    </row>
    <row r="7" spans="1:5" x14ac:dyDescent="0.25">
      <c r="A7" s="33"/>
      <c r="B7" s="62" t="s">
        <v>107</v>
      </c>
      <c r="C7" s="64" t="s">
        <v>108</v>
      </c>
      <c r="D7" s="15" t="s">
        <v>96</v>
      </c>
      <c r="E7" s="16" t="s">
        <v>85</v>
      </c>
    </row>
    <row r="8" spans="1:5" ht="16.5" thickBot="1" x14ac:dyDescent="0.3">
      <c r="A8" s="34" t="s">
        <v>94</v>
      </c>
      <c r="B8" s="63"/>
      <c r="C8" s="65"/>
      <c r="D8" s="4" t="s">
        <v>111</v>
      </c>
      <c r="E8" s="3" t="s">
        <v>109</v>
      </c>
    </row>
    <row r="9" spans="1:5" x14ac:dyDescent="0.25">
      <c r="A9" s="35" t="s">
        <v>92</v>
      </c>
      <c r="B9" s="5">
        <v>13750</v>
      </c>
      <c r="C9" s="5">
        <v>8750</v>
      </c>
      <c r="D9" s="22">
        <f>C9/B9-1</f>
        <v>-0.36363636363636365</v>
      </c>
      <c r="E9" s="7">
        <f t="shared" ref="E9:E10" si="0">B9/C9-1</f>
        <v>0.5714285714285714</v>
      </c>
    </row>
    <row r="10" spans="1:5" x14ac:dyDescent="0.25">
      <c r="A10" s="35" t="s">
        <v>93</v>
      </c>
      <c r="B10" s="5">
        <v>29551</v>
      </c>
      <c r="C10" s="5">
        <v>18850</v>
      </c>
      <c r="D10" s="22">
        <f>C10/B10-1</f>
        <v>-0.36211972522080471</v>
      </c>
      <c r="E10" s="7">
        <f t="shared" si="0"/>
        <v>0.56769230769230772</v>
      </c>
    </row>
    <row r="11" spans="1:5" ht="15.75" thickBot="1" x14ac:dyDescent="0.3">
      <c r="A11" s="36"/>
      <c r="B11" s="6"/>
      <c r="C11" s="6"/>
      <c r="D11" s="6"/>
      <c r="E11" s="8"/>
    </row>
    <row r="12" spans="1:5" x14ac:dyDescent="0.25">
      <c r="A12" s="37"/>
      <c r="B12" s="62" t="s">
        <v>107</v>
      </c>
      <c r="C12" s="66" t="s">
        <v>108</v>
      </c>
      <c r="D12" s="12" t="s">
        <v>96</v>
      </c>
      <c r="E12" s="13" t="s">
        <v>85</v>
      </c>
    </row>
    <row r="13" spans="1:5" ht="15.75" thickBot="1" x14ac:dyDescent="0.3">
      <c r="A13" s="38" t="s">
        <v>84</v>
      </c>
      <c r="B13" s="63"/>
      <c r="C13" s="67"/>
      <c r="D13" s="4" t="s">
        <v>111</v>
      </c>
      <c r="E13" s="3" t="s">
        <v>109</v>
      </c>
    </row>
    <row r="14" spans="1:5" x14ac:dyDescent="0.25">
      <c r="A14" s="35" t="s">
        <v>82</v>
      </c>
      <c r="B14" s="39">
        <v>21</v>
      </c>
      <c r="C14" s="39">
        <v>8.2410020885840272</v>
      </c>
      <c r="D14" s="22">
        <f t="shared" ref="D14:D45" si="1">C14/B14-1</f>
        <v>-0.6075713291150463</v>
      </c>
      <c r="E14" s="25">
        <f t="shared" ref="E14:E45" si="2">B14/C14-1</f>
        <v>1.5482337917485265</v>
      </c>
    </row>
    <row r="15" spans="1:5" x14ac:dyDescent="0.25">
      <c r="A15" s="35" t="s">
        <v>74</v>
      </c>
      <c r="B15" s="39">
        <v>71</v>
      </c>
      <c r="C15" s="39">
        <v>31.928717282346391</v>
      </c>
      <c r="D15" s="22">
        <f t="shared" si="1"/>
        <v>-0.55029975658667052</v>
      </c>
      <c r="E15" s="25">
        <f t="shared" si="2"/>
        <v>1.223703488372093</v>
      </c>
    </row>
    <row r="16" spans="1:5" x14ac:dyDescent="0.25">
      <c r="A16" s="35" t="s">
        <v>60</v>
      </c>
      <c r="B16" s="39">
        <v>197</v>
      </c>
      <c r="C16" s="39">
        <v>92.616484128457401</v>
      </c>
      <c r="D16" s="22">
        <f t="shared" si="1"/>
        <v>-0.52986556279970864</v>
      </c>
      <c r="E16" s="25">
        <f t="shared" si="2"/>
        <v>1.1270511599939872</v>
      </c>
    </row>
    <row r="17" spans="1:5" x14ac:dyDescent="0.25">
      <c r="A17" s="35" t="s">
        <v>3</v>
      </c>
      <c r="B17" s="39">
        <v>48</v>
      </c>
      <c r="C17" s="39">
        <v>24.382773343233712</v>
      </c>
      <c r="D17" s="22">
        <f t="shared" si="1"/>
        <v>-0.49202555534929771</v>
      </c>
      <c r="E17" s="25">
        <f t="shared" si="2"/>
        <v>0.96860296916634936</v>
      </c>
    </row>
    <row r="18" spans="1:5" x14ac:dyDescent="0.25">
      <c r="A18" s="35" t="s">
        <v>67</v>
      </c>
      <c r="B18" s="39">
        <v>24</v>
      </c>
      <c r="C18" s="39">
        <v>12.348000000000001</v>
      </c>
      <c r="D18" s="22">
        <f t="shared" si="1"/>
        <v>-0.48549999999999993</v>
      </c>
      <c r="E18" s="25">
        <f t="shared" si="2"/>
        <v>0.94363459669582106</v>
      </c>
    </row>
    <row r="19" spans="1:5" x14ac:dyDescent="0.25">
      <c r="A19" s="35" t="s">
        <v>30</v>
      </c>
      <c r="B19" s="39">
        <v>56</v>
      </c>
      <c r="C19" s="39">
        <v>28.930759235195847</v>
      </c>
      <c r="D19" s="22">
        <f t="shared" si="1"/>
        <v>-0.4833792993715027</v>
      </c>
      <c r="E19" s="25">
        <f t="shared" si="2"/>
        <v>0.9356560795636828</v>
      </c>
    </row>
    <row r="20" spans="1:5" x14ac:dyDescent="0.25">
      <c r="A20" s="35" t="s">
        <v>64</v>
      </c>
      <c r="B20" s="39">
        <v>18</v>
      </c>
      <c r="C20" s="39">
        <v>9.3227659482572456</v>
      </c>
      <c r="D20" s="22">
        <f t="shared" si="1"/>
        <v>-0.48206855843015306</v>
      </c>
      <c r="E20" s="25">
        <f t="shared" si="2"/>
        <v>0.93075747046560098</v>
      </c>
    </row>
    <row r="21" spans="1:5" x14ac:dyDescent="0.25">
      <c r="A21" s="35" t="s">
        <v>23</v>
      </c>
      <c r="B21" s="39">
        <v>55</v>
      </c>
      <c r="C21" s="39">
        <v>29.283351232912199</v>
      </c>
      <c r="D21" s="22">
        <f t="shared" si="1"/>
        <v>-0.4675754321288691</v>
      </c>
      <c r="E21" s="25">
        <f t="shared" si="2"/>
        <v>0.87820033173608536</v>
      </c>
    </row>
    <row r="22" spans="1:5" x14ac:dyDescent="0.25">
      <c r="A22" s="35" t="s">
        <v>81</v>
      </c>
      <c r="B22" s="39">
        <v>44</v>
      </c>
      <c r="C22" s="39">
        <v>23.89084833859291</v>
      </c>
      <c r="D22" s="22">
        <f t="shared" si="1"/>
        <v>-0.45702617412288837</v>
      </c>
      <c r="E22" s="25">
        <f t="shared" si="2"/>
        <v>0.84170940170940156</v>
      </c>
    </row>
    <row r="23" spans="1:5" x14ac:dyDescent="0.25">
      <c r="A23" s="35" t="s">
        <v>83</v>
      </c>
      <c r="B23" s="39">
        <v>97</v>
      </c>
      <c r="C23" s="39">
        <v>53.007239651011702</v>
      </c>
      <c r="D23" s="22">
        <f t="shared" si="1"/>
        <v>-0.45353361184524021</v>
      </c>
      <c r="E23" s="25">
        <f t="shared" si="2"/>
        <v>0.82993871476098735</v>
      </c>
    </row>
    <row r="24" spans="1:5" x14ac:dyDescent="0.25">
      <c r="A24" s="35" t="s">
        <v>0</v>
      </c>
      <c r="B24" s="39">
        <v>68</v>
      </c>
      <c r="C24" s="39">
        <v>37.454999999999998</v>
      </c>
      <c r="D24" s="22">
        <f t="shared" si="1"/>
        <v>-0.44919117647058826</v>
      </c>
      <c r="E24" s="25">
        <f t="shared" si="2"/>
        <v>0.81551194767053814</v>
      </c>
    </row>
    <row r="25" spans="1:5" x14ac:dyDescent="0.25">
      <c r="A25" s="35" t="s">
        <v>27</v>
      </c>
      <c r="B25" s="39">
        <v>69</v>
      </c>
      <c r="C25" s="39">
        <v>38.212363096343054</v>
      </c>
      <c r="D25" s="22">
        <f t="shared" si="1"/>
        <v>-0.44619763628488329</v>
      </c>
      <c r="E25" s="25">
        <f t="shared" si="2"/>
        <v>0.80569832402234609</v>
      </c>
    </row>
    <row r="26" spans="1:5" x14ac:dyDescent="0.25">
      <c r="A26" s="35" t="s">
        <v>25</v>
      </c>
      <c r="B26" s="39">
        <v>53</v>
      </c>
      <c r="C26" s="39">
        <v>30.313718210506774</v>
      </c>
      <c r="D26" s="22">
        <f t="shared" si="1"/>
        <v>-0.42804305263194764</v>
      </c>
      <c r="E26" s="25">
        <f t="shared" si="2"/>
        <v>0.74838334353949798</v>
      </c>
    </row>
    <row r="27" spans="1:5" x14ac:dyDescent="0.25">
      <c r="A27" s="35" t="s">
        <v>1</v>
      </c>
      <c r="B27" s="39">
        <v>39</v>
      </c>
      <c r="C27" s="39">
        <v>22.842027102283275</v>
      </c>
      <c r="D27" s="22">
        <f t="shared" si="1"/>
        <v>-0.41430699737735188</v>
      </c>
      <c r="E27" s="25">
        <f t="shared" si="2"/>
        <v>0.70737911418122712</v>
      </c>
    </row>
    <row r="28" spans="1:5" x14ac:dyDescent="0.25">
      <c r="A28" s="35" t="s">
        <v>72</v>
      </c>
      <c r="B28" s="39">
        <v>199</v>
      </c>
      <c r="C28" s="39">
        <v>117.04102468906628</v>
      </c>
      <c r="D28" s="22">
        <f t="shared" si="1"/>
        <v>-0.41185414729112424</v>
      </c>
      <c r="E28" s="25">
        <f t="shared" si="2"/>
        <v>0.70025852498017449</v>
      </c>
    </row>
    <row r="29" spans="1:5" x14ac:dyDescent="0.25">
      <c r="A29" s="35" t="s">
        <v>15</v>
      </c>
      <c r="B29" s="39">
        <v>20</v>
      </c>
      <c r="C29" s="39">
        <v>11.801926316244113</v>
      </c>
      <c r="D29" s="22">
        <f t="shared" si="1"/>
        <v>-0.40990368418779433</v>
      </c>
      <c r="E29" s="25">
        <f t="shared" si="2"/>
        <v>0.69463860933211374</v>
      </c>
    </row>
    <row r="30" spans="1:5" x14ac:dyDescent="0.25">
      <c r="A30" s="35" t="s">
        <v>38</v>
      </c>
      <c r="B30" s="39">
        <v>54</v>
      </c>
      <c r="C30" s="39">
        <v>31.95500619388207</v>
      </c>
      <c r="D30" s="22">
        <f t="shared" si="1"/>
        <v>-0.40824062603922096</v>
      </c>
      <c r="E30" s="25">
        <f t="shared" si="2"/>
        <v>0.68987606112054345</v>
      </c>
    </row>
    <row r="31" spans="1:5" x14ac:dyDescent="0.25">
      <c r="A31" s="35" t="s">
        <v>76</v>
      </c>
      <c r="B31" s="39">
        <v>45</v>
      </c>
      <c r="C31" s="39">
        <v>27.024999999999999</v>
      </c>
      <c r="D31" s="22">
        <f t="shared" si="1"/>
        <v>-0.39944444444444449</v>
      </c>
      <c r="E31" s="25">
        <f t="shared" si="2"/>
        <v>0.66512488436632755</v>
      </c>
    </row>
    <row r="32" spans="1:5" x14ac:dyDescent="0.25">
      <c r="A32" s="35" t="s">
        <v>32</v>
      </c>
      <c r="B32" s="39">
        <v>49</v>
      </c>
      <c r="C32" s="39">
        <v>29.524999999999999</v>
      </c>
      <c r="D32" s="22">
        <f t="shared" si="1"/>
        <v>-0.39744897959183678</v>
      </c>
      <c r="E32" s="25">
        <f t="shared" si="2"/>
        <v>0.65961049957663009</v>
      </c>
    </row>
    <row r="33" spans="1:5" x14ac:dyDescent="0.25">
      <c r="A33" s="35" t="s">
        <v>78</v>
      </c>
      <c r="B33" s="39">
        <v>77</v>
      </c>
      <c r="C33" s="39">
        <v>46.408019305736033</v>
      </c>
      <c r="D33" s="22">
        <f t="shared" si="1"/>
        <v>-0.39729845057485669</v>
      </c>
      <c r="E33" s="25">
        <f t="shared" si="2"/>
        <v>0.65919599999999989</v>
      </c>
    </row>
    <row r="34" spans="1:5" x14ac:dyDescent="0.25">
      <c r="A34" s="35" t="s">
        <v>80</v>
      </c>
      <c r="B34" s="39">
        <v>130</v>
      </c>
      <c r="C34" s="39">
        <v>78.884351215890106</v>
      </c>
      <c r="D34" s="22">
        <f t="shared" si="1"/>
        <v>-0.39319729833930683</v>
      </c>
      <c r="E34" s="25">
        <f t="shared" si="2"/>
        <v>0.647982115543005</v>
      </c>
    </row>
    <row r="35" spans="1:5" x14ac:dyDescent="0.25">
      <c r="A35" s="35" t="s">
        <v>11</v>
      </c>
      <c r="B35" s="39">
        <v>52</v>
      </c>
      <c r="C35" s="39">
        <v>31.564666092257045</v>
      </c>
      <c r="D35" s="22">
        <f t="shared" si="1"/>
        <v>-0.39298719053351838</v>
      </c>
      <c r="E35" s="25">
        <f t="shared" si="2"/>
        <v>0.64741169280912603</v>
      </c>
    </row>
    <row r="36" spans="1:5" x14ac:dyDescent="0.25">
      <c r="A36" s="35" t="s">
        <v>58</v>
      </c>
      <c r="B36" s="39">
        <v>73</v>
      </c>
      <c r="C36" s="39">
        <v>44.728049006868389</v>
      </c>
      <c r="D36" s="22">
        <f t="shared" si="1"/>
        <v>-0.38728699990591253</v>
      </c>
      <c r="E36" s="25">
        <f t="shared" si="2"/>
        <v>0.63208549491595756</v>
      </c>
    </row>
    <row r="37" spans="1:5" x14ac:dyDescent="0.25">
      <c r="A37" s="35" t="s">
        <v>10</v>
      </c>
      <c r="B37" s="39">
        <v>164</v>
      </c>
      <c r="C37" s="39">
        <v>101.78206794134027</v>
      </c>
      <c r="D37" s="22">
        <f t="shared" si="1"/>
        <v>-0.37937763450402273</v>
      </c>
      <c r="E37" s="25">
        <f t="shared" si="2"/>
        <v>0.61128579244938885</v>
      </c>
    </row>
    <row r="38" spans="1:5" x14ac:dyDescent="0.25">
      <c r="A38" s="35" t="s">
        <v>47</v>
      </c>
      <c r="B38" s="39">
        <v>307</v>
      </c>
      <c r="C38" s="39">
        <v>192.69537776127717</v>
      </c>
      <c r="D38" s="22">
        <f t="shared" si="1"/>
        <v>-0.37232775973525356</v>
      </c>
      <c r="E38" s="25">
        <f t="shared" si="2"/>
        <v>0.59318818939357421</v>
      </c>
    </row>
    <row r="39" spans="1:5" x14ac:dyDescent="0.25">
      <c r="A39" s="35" t="s">
        <v>12</v>
      </c>
      <c r="B39" s="39">
        <v>64</v>
      </c>
      <c r="C39" s="39">
        <v>40.18</v>
      </c>
      <c r="D39" s="22">
        <f t="shared" si="1"/>
        <v>-0.3721875</v>
      </c>
      <c r="E39" s="25">
        <f t="shared" si="2"/>
        <v>0.59283225485316082</v>
      </c>
    </row>
    <row r="40" spans="1:5" x14ac:dyDescent="0.25">
      <c r="A40" s="35" t="s">
        <v>71</v>
      </c>
      <c r="B40" s="39">
        <v>81</v>
      </c>
      <c r="C40" s="39">
        <v>51.898087989604605</v>
      </c>
      <c r="D40" s="22">
        <f t="shared" si="1"/>
        <v>-0.35928286432586909</v>
      </c>
      <c r="E40" s="25">
        <f t="shared" si="2"/>
        <v>0.56075114012340155</v>
      </c>
    </row>
    <row r="41" spans="1:5" x14ac:dyDescent="0.25">
      <c r="A41" s="35" t="s">
        <v>20</v>
      </c>
      <c r="B41" s="39">
        <v>55</v>
      </c>
      <c r="C41" s="39">
        <v>35.269166511973275</v>
      </c>
      <c r="D41" s="22">
        <f t="shared" si="1"/>
        <v>-0.35874242705503134</v>
      </c>
      <c r="E41" s="25">
        <f t="shared" si="2"/>
        <v>0.55943577462564775</v>
      </c>
    </row>
    <row r="42" spans="1:5" x14ac:dyDescent="0.25">
      <c r="A42" s="35" t="s">
        <v>16</v>
      </c>
      <c r="B42" s="39">
        <v>41</v>
      </c>
      <c r="C42" s="39">
        <v>26.303286831080204</v>
      </c>
      <c r="D42" s="22">
        <f t="shared" si="1"/>
        <v>-0.35845641875414136</v>
      </c>
      <c r="E42" s="25">
        <f t="shared" si="2"/>
        <v>0.55874055829228264</v>
      </c>
    </row>
    <row r="43" spans="1:5" x14ac:dyDescent="0.25">
      <c r="A43" s="35" t="s">
        <v>54</v>
      </c>
      <c r="B43" s="39">
        <v>95</v>
      </c>
      <c r="C43" s="39">
        <v>61.040467792834605</v>
      </c>
      <c r="D43" s="22">
        <f t="shared" si="1"/>
        <v>-0.35746876007542516</v>
      </c>
      <c r="E43" s="25">
        <f t="shared" si="2"/>
        <v>0.55634456017638545</v>
      </c>
    </row>
    <row r="44" spans="1:5" x14ac:dyDescent="0.25">
      <c r="A44" s="35" t="s">
        <v>39</v>
      </c>
      <c r="B44" s="39">
        <v>222</v>
      </c>
      <c r="C44" s="39">
        <v>143.14089474661222</v>
      </c>
      <c r="D44" s="22">
        <f t="shared" si="1"/>
        <v>-0.35522119483508008</v>
      </c>
      <c r="E44" s="25">
        <f t="shared" si="2"/>
        <v>0.55091946569835293</v>
      </c>
    </row>
    <row r="45" spans="1:5" x14ac:dyDescent="0.25">
      <c r="A45" s="35" t="s">
        <v>41</v>
      </c>
      <c r="B45" s="39">
        <v>174</v>
      </c>
      <c r="C45" s="39">
        <v>112.99424540560609</v>
      </c>
      <c r="D45" s="22">
        <f t="shared" si="1"/>
        <v>-0.35060778502525236</v>
      </c>
      <c r="E45" s="25">
        <f t="shared" si="2"/>
        <v>0.53990142927550511</v>
      </c>
    </row>
    <row r="46" spans="1:5" x14ac:dyDescent="0.25">
      <c r="A46" s="35" t="s">
        <v>50</v>
      </c>
      <c r="B46" s="39">
        <v>107</v>
      </c>
      <c r="C46" s="39">
        <v>69.946166697605349</v>
      </c>
      <c r="D46" s="22">
        <f t="shared" ref="D46:D77" si="3">C46/B46-1</f>
        <v>-0.34629750749901544</v>
      </c>
      <c r="E46" s="25">
        <f t="shared" ref="E46:E77" si="4">B46/C46-1</f>
        <v>0.52974787685774949</v>
      </c>
    </row>
    <row r="47" spans="1:5" x14ac:dyDescent="0.25">
      <c r="A47" s="35" t="s">
        <v>68</v>
      </c>
      <c r="B47" s="39">
        <v>1026</v>
      </c>
      <c r="C47" s="39">
        <v>676</v>
      </c>
      <c r="D47" s="22">
        <f t="shared" si="3"/>
        <v>-0.34113060428849906</v>
      </c>
      <c r="E47" s="25">
        <f t="shared" si="4"/>
        <v>0.51775147928994092</v>
      </c>
    </row>
    <row r="48" spans="1:5" x14ac:dyDescent="0.25">
      <c r="A48" s="35" t="s">
        <v>26</v>
      </c>
      <c r="B48" s="39">
        <v>190</v>
      </c>
      <c r="C48" s="39">
        <v>125.90495637646187</v>
      </c>
      <c r="D48" s="22">
        <f t="shared" si="3"/>
        <v>-0.33734233486072696</v>
      </c>
      <c r="E48" s="25">
        <f t="shared" si="4"/>
        <v>0.50907482491706579</v>
      </c>
    </row>
    <row r="49" spans="1:5" x14ac:dyDescent="0.25">
      <c r="A49" s="35" t="s">
        <v>62</v>
      </c>
      <c r="B49" s="39">
        <v>81</v>
      </c>
      <c r="C49" s="39">
        <v>54.234174865416747</v>
      </c>
      <c r="D49" s="22">
        <f t="shared" si="3"/>
        <v>-0.33044228561213895</v>
      </c>
      <c r="E49" s="25">
        <f t="shared" si="4"/>
        <v>0.49352322960574613</v>
      </c>
    </row>
    <row r="50" spans="1:5" x14ac:dyDescent="0.25">
      <c r="A50" s="35" t="s">
        <v>53</v>
      </c>
      <c r="B50" s="39">
        <v>249</v>
      </c>
      <c r="C50" s="39">
        <v>170.02506033042511</v>
      </c>
      <c r="D50" s="22">
        <f t="shared" si="3"/>
        <v>-0.31716843240793136</v>
      </c>
      <c r="E50" s="25">
        <f t="shared" si="4"/>
        <v>0.46448999645167444</v>
      </c>
    </row>
    <row r="51" spans="1:5" x14ac:dyDescent="0.25">
      <c r="A51" s="35" t="s">
        <v>49</v>
      </c>
      <c r="B51" s="39">
        <v>200</v>
      </c>
      <c r="C51" s="39">
        <v>137.07072582142195</v>
      </c>
      <c r="D51" s="22">
        <f t="shared" si="3"/>
        <v>-0.31464637089289027</v>
      </c>
      <c r="E51" s="25">
        <f t="shared" si="4"/>
        <v>0.45910075839653297</v>
      </c>
    </row>
    <row r="52" spans="1:5" x14ac:dyDescent="0.25">
      <c r="A52" s="35" t="s">
        <v>5</v>
      </c>
      <c r="B52" s="39">
        <v>1397</v>
      </c>
      <c r="C52" s="39">
        <v>960.22368665305385</v>
      </c>
      <c r="D52" s="22">
        <f t="shared" si="3"/>
        <v>-0.31265305178736302</v>
      </c>
      <c r="E52" s="25">
        <f t="shared" si="4"/>
        <v>0.45486933869478818</v>
      </c>
    </row>
    <row r="53" spans="1:5" x14ac:dyDescent="0.25">
      <c r="A53" s="35" t="s">
        <v>6</v>
      </c>
      <c r="B53" s="39">
        <v>42</v>
      </c>
      <c r="C53" s="39">
        <v>29.13291256729163</v>
      </c>
      <c r="D53" s="22">
        <f t="shared" si="3"/>
        <v>-0.30635922458829457</v>
      </c>
      <c r="E53" s="25">
        <f t="shared" si="4"/>
        <v>0.44166841893984277</v>
      </c>
    </row>
    <row r="54" spans="1:5" x14ac:dyDescent="0.25">
      <c r="A54" s="35" t="s">
        <v>44</v>
      </c>
      <c r="B54" s="39">
        <v>200</v>
      </c>
      <c r="C54" s="39">
        <v>139.73677371449787</v>
      </c>
      <c r="D54" s="22">
        <f t="shared" si="3"/>
        <v>-0.30131613142751068</v>
      </c>
      <c r="E54" s="25">
        <f t="shared" si="4"/>
        <v>0.43126247074108415</v>
      </c>
    </row>
    <row r="55" spans="1:5" x14ac:dyDescent="0.25">
      <c r="A55" s="35" t="s">
        <v>36</v>
      </c>
      <c r="B55" s="39">
        <v>103</v>
      </c>
      <c r="C55" s="39">
        <v>72.540000000000006</v>
      </c>
      <c r="D55" s="22">
        <f t="shared" si="3"/>
        <v>-0.29572815533980579</v>
      </c>
      <c r="E55" s="25">
        <f t="shared" si="4"/>
        <v>0.41990625861593589</v>
      </c>
    </row>
    <row r="56" spans="1:5" x14ac:dyDescent="0.25">
      <c r="A56" s="35" t="s">
        <v>37</v>
      </c>
      <c r="B56" s="39">
        <v>94</v>
      </c>
      <c r="C56" s="39">
        <v>66.66</v>
      </c>
      <c r="D56" s="22">
        <f t="shared" si="3"/>
        <v>-0.29085106382978732</v>
      </c>
      <c r="E56" s="25">
        <f t="shared" si="4"/>
        <v>0.41014101410141013</v>
      </c>
    </row>
    <row r="57" spans="1:5" x14ac:dyDescent="0.25">
      <c r="A57" s="35" t="s">
        <v>19</v>
      </c>
      <c r="B57" s="39">
        <v>46</v>
      </c>
      <c r="C57" s="39">
        <v>32.680527195099316</v>
      </c>
      <c r="D57" s="22">
        <f t="shared" si="3"/>
        <v>-0.28955375662827576</v>
      </c>
      <c r="E57" s="25">
        <f t="shared" si="4"/>
        <v>0.40756603237716549</v>
      </c>
    </row>
    <row r="58" spans="1:5" x14ac:dyDescent="0.25">
      <c r="A58" s="35" t="s">
        <v>17</v>
      </c>
      <c r="B58" s="39">
        <v>65</v>
      </c>
      <c r="C58" s="39">
        <v>46.640059402264718</v>
      </c>
      <c r="D58" s="22">
        <f t="shared" si="3"/>
        <v>-0.28246062458054277</v>
      </c>
      <c r="E58" s="25">
        <f t="shared" si="4"/>
        <v>0.39365174129353209</v>
      </c>
    </row>
    <row r="59" spans="1:5" x14ac:dyDescent="0.25">
      <c r="A59" s="35" t="s">
        <v>69</v>
      </c>
      <c r="B59" s="39">
        <v>127</v>
      </c>
      <c r="C59" s="39">
        <v>91.36</v>
      </c>
      <c r="D59" s="22">
        <f t="shared" si="3"/>
        <v>-0.28062992125984254</v>
      </c>
      <c r="E59" s="25">
        <f t="shared" si="4"/>
        <v>0.39010507880910694</v>
      </c>
    </row>
    <row r="60" spans="1:5" x14ac:dyDescent="0.25">
      <c r="A60" s="35" t="s">
        <v>42</v>
      </c>
      <c r="B60" s="39">
        <v>62</v>
      </c>
      <c r="C60" s="39">
        <v>44.997215518841656</v>
      </c>
      <c r="D60" s="22">
        <f t="shared" si="3"/>
        <v>-0.27423845937352165</v>
      </c>
      <c r="E60" s="25">
        <f t="shared" si="4"/>
        <v>0.37786303630363038</v>
      </c>
    </row>
    <row r="61" spans="1:5" x14ac:dyDescent="0.25">
      <c r="A61" s="35" t="s">
        <v>48</v>
      </c>
      <c r="B61" s="39">
        <v>152</v>
      </c>
      <c r="C61" s="39">
        <v>112.38165955077038</v>
      </c>
      <c r="D61" s="22">
        <f t="shared" si="3"/>
        <v>-0.26064697663966852</v>
      </c>
      <c r="E61" s="25">
        <f t="shared" si="4"/>
        <v>0.35253386190948133</v>
      </c>
    </row>
    <row r="62" spans="1:5" x14ac:dyDescent="0.25">
      <c r="A62" s="35" t="s">
        <v>31</v>
      </c>
      <c r="B62" s="39">
        <v>40</v>
      </c>
      <c r="C62" s="39">
        <v>29.873587016627873</v>
      </c>
      <c r="D62" s="22">
        <f t="shared" si="3"/>
        <v>-0.25316032458430315</v>
      </c>
      <c r="E62" s="25">
        <f t="shared" si="4"/>
        <v>0.33897546276366763</v>
      </c>
    </row>
    <row r="63" spans="1:5" x14ac:dyDescent="0.25">
      <c r="A63" s="35" t="s">
        <v>61</v>
      </c>
      <c r="B63" s="39">
        <v>134</v>
      </c>
      <c r="C63" s="39">
        <v>100.39910896602935</v>
      </c>
      <c r="D63" s="22">
        <f t="shared" si="3"/>
        <v>-0.25075291816396006</v>
      </c>
      <c r="E63" s="25">
        <f t="shared" si="4"/>
        <v>0.33467319959323261</v>
      </c>
    </row>
    <row r="64" spans="1:5" x14ac:dyDescent="0.25">
      <c r="A64" s="35" t="s">
        <v>28</v>
      </c>
      <c r="B64" s="39">
        <v>139</v>
      </c>
      <c r="C64" s="39">
        <v>104.2</v>
      </c>
      <c r="D64" s="22">
        <f t="shared" si="3"/>
        <v>-0.2503597122302158</v>
      </c>
      <c r="E64" s="25">
        <f t="shared" si="4"/>
        <v>0.33397312859884831</v>
      </c>
    </row>
    <row r="65" spans="1:5" x14ac:dyDescent="0.25">
      <c r="A65" s="35" t="s">
        <v>33</v>
      </c>
      <c r="B65" s="39">
        <v>43</v>
      </c>
      <c r="C65" s="39">
        <v>32.28</v>
      </c>
      <c r="D65" s="22">
        <f t="shared" si="3"/>
        <v>-0.24930232558139531</v>
      </c>
      <c r="E65" s="25">
        <f t="shared" si="4"/>
        <v>0.33209417596034685</v>
      </c>
    </row>
    <row r="66" spans="1:5" x14ac:dyDescent="0.25">
      <c r="A66" s="35" t="s">
        <v>70</v>
      </c>
      <c r="B66" s="39">
        <v>28</v>
      </c>
      <c r="C66" s="39">
        <v>21.173853216908217</v>
      </c>
      <c r="D66" s="22">
        <f t="shared" si="3"/>
        <v>-0.2437909565389923</v>
      </c>
      <c r="E66" s="25">
        <f t="shared" si="4"/>
        <v>0.32238566656544188</v>
      </c>
    </row>
    <row r="67" spans="1:5" x14ac:dyDescent="0.25">
      <c r="A67" s="35" t="s">
        <v>2</v>
      </c>
      <c r="B67" s="39">
        <v>151</v>
      </c>
      <c r="C67" s="39">
        <v>114.24726192686097</v>
      </c>
      <c r="D67" s="22">
        <f t="shared" si="3"/>
        <v>-0.24339561637840412</v>
      </c>
      <c r="E67" s="25">
        <f t="shared" si="4"/>
        <v>0.32169469493866254</v>
      </c>
    </row>
    <row r="68" spans="1:5" x14ac:dyDescent="0.25">
      <c r="A68" s="35" t="s">
        <v>51</v>
      </c>
      <c r="B68" s="39">
        <v>170</v>
      </c>
      <c r="C68" s="39">
        <v>128.99108966029331</v>
      </c>
      <c r="D68" s="22">
        <f t="shared" si="3"/>
        <v>-0.24122888435121581</v>
      </c>
      <c r="E68" s="25">
        <f t="shared" si="4"/>
        <v>0.31792048929663586</v>
      </c>
    </row>
    <row r="69" spans="1:5" x14ac:dyDescent="0.25">
      <c r="A69" s="35" t="s">
        <v>55</v>
      </c>
      <c r="B69" s="39">
        <v>90</v>
      </c>
      <c r="C69" s="39">
        <v>68.52734286362606</v>
      </c>
      <c r="D69" s="22">
        <f t="shared" si="3"/>
        <v>-0.23858507929304373</v>
      </c>
      <c r="E69" s="25">
        <f t="shared" si="4"/>
        <v>0.31334437086092692</v>
      </c>
    </row>
    <row r="70" spans="1:5" x14ac:dyDescent="0.25">
      <c r="A70" s="35" t="s">
        <v>4</v>
      </c>
      <c r="B70" s="39">
        <v>139</v>
      </c>
      <c r="C70" s="39">
        <v>107.1</v>
      </c>
      <c r="D70" s="22">
        <f t="shared" si="3"/>
        <v>-0.2294964028776979</v>
      </c>
      <c r="E70" s="25">
        <f t="shared" si="4"/>
        <v>0.29785247432306261</v>
      </c>
    </row>
    <row r="71" spans="1:5" x14ac:dyDescent="0.25">
      <c r="A71" s="35" t="s">
        <v>77</v>
      </c>
      <c r="B71" s="39">
        <v>55</v>
      </c>
      <c r="C71" s="39">
        <v>42.575000000000003</v>
      </c>
      <c r="D71" s="22">
        <f t="shared" si="3"/>
        <v>-0.22590909090909084</v>
      </c>
      <c r="E71" s="25">
        <f t="shared" si="4"/>
        <v>0.29183793305930705</v>
      </c>
    </row>
    <row r="72" spans="1:5" x14ac:dyDescent="0.25">
      <c r="A72" s="35" t="s">
        <v>24</v>
      </c>
      <c r="B72" s="39">
        <v>151</v>
      </c>
      <c r="C72" s="39">
        <v>118.82309263040655</v>
      </c>
      <c r="D72" s="22">
        <f t="shared" si="3"/>
        <v>-0.21309210178538707</v>
      </c>
      <c r="E72" s="25">
        <f t="shared" si="4"/>
        <v>0.27079675050773311</v>
      </c>
    </row>
    <row r="73" spans="1:5" x14ac:dyDescent="0.25">
      <c r="A73" s="35" t="s">
        <v>43</v>
      </c>
      <c r="B73" s="39">
        <v>139</v>
      </c>
      <c r="C73" s="39">
        <v>109.43939112678672</v>
      </c>
      <c r="D73" s="22">
        <f t="shared" si="3"/>
        <v>-0.21266625088642654</v>
      </c>
      <c r="E73" s="25">
        <f t="shared" si="4"/>
        <v>0.27010940547875495</v>
      </c>
    </row>
    <row r="74" spans="1:5" x14ac:dyDescent="0.25">
      <c r="A74" s="35" t="s">
        <v>73</v>
      </c>
      <c r="B74" s="39">
        <v>56</v>
      </c>
      <c r="C74" s="39">
        <v>44.496487119437937</v>
      </c>
      <c r="D74" s="22">
        <f t="shared" si="3"/>
        <v>-0.20541987286717966</v>
      </c>
      <c r="E74" s="25">
        <f t="shared" si="4"/>
        <v>0.25852631578947372</v>
      </c>
    </row>
    <row r="75" spans="1:5" x14ac:dyDescent="0.25">
      <c r="A75" s="35" t="s">
        <v>57</v>
      </c>
      <c r="B75" s="39">
        <v>50</v>
      </c>
      <c r="C75" s="39">
        <v>39.740329273189666</v>
      </c>
      <c r="D75" s="22">
        <f t="shared" si="3"/>
        <v>-0.20519341453620665</v>
      </c>
      <c r="E75" s="25">
        <f t="shared" si="4"/>
        <v>0.25816773324351638</v>
      </c>
    </row>
    <row r="76" spans="1:5" x14ac:dyDescent="0.25">
      <c r="A76" s="35" t="s">
        <v>75</v>
      </c>
      <c r="B76" s="39">
        <v>308</v>
      </c>
      <c r="C76" s="39">
        <v>248.10655281232599</v>
      </c>
      <c r="D76" s="22">
        <f t="shared" si="3"/>
        <v>-0.19445924411582471</v>
      </c>
      <c r="E76" s="25">
        <f t="shared" si="4"/>
        <v>0.24140211739179218</v>
      </c>
    </row>
    <row r="77" spans="1:5" x14ac:dyDescent="0.25">
      <c r="A77" s="35" t="s">
        <v>9</v>
      </c>
      <c r="B77" s="39">
        <v>105</v>
      </c>
      <c r="C77" s="39">
        <v>84.620382402079088</v>
      </c>
      <c r="D77" s="22">
        <f t="shared" si="3"/>
        <v>-0.1940915961706754</v>
      </c>
      <c r="E77" s="25">
        <f t="shared" si="4"/>
        <v>0.24083580125041126</v>
      </c>
    </row>
    <row r="78" spans="1:5" x14ac:dyDescent="0.25">
      <c r="A78" s="35" t="s">
        <v>59</v>
      </c>
      <c r="B78" s="39">
        <v>51</v>
      </c>
      <c r="C78" s="39">
        <v>41.841470206051611</v>
      </c>
      <c r="D78" s="22">
        <f t="shared" ref="D78:D97" si="5">C78/B78-1</f>
        <v>-0.17957901556761546</v>
      </c>
      <c r="E78" s="25">
        <f t="shared" ref="E78:E97" si="6">B78/C78-1</f>
        <v>0.21888642413487114</v>
      </c>
    </row>
    <row r="79" spans="1:5" x14ac:dyDescent="0.25">
      <c r="A79" s="35" t="s">
        <v>56</v>
      </c>
      <c r="B79" s="39">
        <v>58</v>
      </c>
      <c r="C79" s="39">
        <v>47.590683978048453</v>
      </c>
      <c r="D79" s="22">
        <f t="shared" si="5"/>
        <v>-0.17947096589571632</v>
      </c>
      <c r="E79" s="25">
        <f t="shared" si="6"/>
        <v>0.21872591759246229</v>
      </c>
    </row>
    <row r="80" spans="1:5" x14ac:dyDescent="0.25">
      <c r="A80" s="35" t="s">
        <v>46</v>
      </c>
      <c r="B80" s="39">
        <v>271</v>
      </c>
      <c r="C80" s="39">
        <v>222.9</v>
      </c>
      <c r="D80" s="22">
        <f t="shared" si="5"/>
        <v>-0.177490774907749</v>
      </c>
      <c r="E80" s="25">
        <f t="shared" si="6"/>
        <v>0.21579183490354414</v>
      </c>
    </row>
    <row r="81" spans="1:5" x14ac:dyDescent="0.25">
      <c r="A81" s="35" t="s">
        <v>21</v>
      </c>
      <c r="B81" s="39">
        <v>70</v>
      </c>
      <c r="C81" s="39">
        <v>57.620196770001861</v>
      </c>
      <c r="D81" s="22">
        <f t="shared" si="5"/>
        <v>-0.1768543318571163</v>
      </c>
      <c r="E81" s="25">
        <f t="shared" si="6"/>
        <v>0.2148518041237113</v>
      </c>
    </row>
    <row r="82" spans="1:5" x14ac:dyDescent="0.25">
      <c r="A82" s="35" t="s">
        <v>65</v>
      </c>
      <c r="B82" s="39">
        <v>76</v>
      </c>
      <c r="C82" s="39">
        <v>62.896816827193014</v>
      </c>
      <c r="D82" s="22">
        <f t="shared" si="5"/>
        <v>-0.17241030490535503</v>
      </c>
      <c r="E82" s="25">
        <f t="shared" si="6"/>
        <v>0.20832824034334774</v>
      </c>
    </row>
    <row r="83" spans="1:5" x14ac:dyDescent="0.25">
      <c r="A83" s="35" t="s">
        <v>63</v>
      </c>
      <c r="B83" s="39">
        <v>114</v>
      </c>
      <c r="C83" s="39">
        <v>94.728049006868403</v>
      </c>
      <c r="D83" s="22">
        <f t="shared" si="5"/>
        <v>-0.16905220169413682</v>
      </c>
      <c r="E83" s="25">
        <f t="shared" si="6"/>
        <v>0.20344503233392097</v>
      </c>
    </row>
    <row r="84" spans="1:5" x14ac:dyDescent="0.25">
      <c r="A84" s="35" t="s">
        <v>8</v>
      </c>
      <c r="B84" s="39">
        <v>209</v>
      </c>
      <c r="C84" s="39">
        <v>173.82587711156489</v>
      </c>
      <c r="D84" s="22">
        <f t="shared" si="5"/>
        <v>-0.1682972387006465</v>
      </c>
      <c r="E84" s="25">
        <f t="shared" si="6"/>
        <v>0.20235262708244339</v>
      </c>
    </row>
    <row r="85" spans="1:5" x14ac:dyDescent="0.25">
      <c r="A85" s="35" t="s">
        <v>66</v>
      </c>
      <c r="B85" s="39">
        <v>319</v>
      </c>
      <c r="C85" s="39">
        <v>269.97768701308524</v>
      </c>
      <c r="D85" s="22">
        <f t="shared" si="5"/>
        <v>-0.15367496234142553</v>
      </c>
      <c r="E85" s="25">
        <f t="shared" si="6"/>
        <v>0.18157912799859921</v>
      </c>
    </row>
    <row r="86" spans="1:5" x14ac:dyDescent="0.25">
      <c r="A86" s="35" t="s">
        <v>14</v>
      </c>
      <c r="B86" s="39">
        <v>105</v>
      </c>
      <c r="C86" s="39">
        <v>89.04</v>
      </c>
      <c r="D86" s="22">
        <f t="shared" si="5"/>
        <v>-0.15199999999999991</v>
      </c>
      <c r="E86" s="25">
        <f t="shared" si="6"/>
        <v>0.17924528301886777</v>
      </c>
    </row>
    <row r="87" spans="1:5" x14ac:dyDescent="0.25">
      <c r="A87" s="35" t="s">
        <v>45</v>
      </c>
      <c r="B87" s="39">
        <v>7718</v>
      </c>
      <c r="C87" s="39">
        <v>6556.8035700779064</v>
      </c>
      <c r="D87" s="22">
        <f t="shared" si="5"/>
        <v>-0.15045302279374106</v>
      </c>
      <c r="E87" s="25">
        <f t="shared" si="6"/>
        <v>0.17709794376351828</v>
      </c>
    </row>
    <row r="88" spans="1:5" x14ac:dyDescent="0.25">
      <c r="A88" s="35" t="s">
        <v>18</v>
      </c>
      <c r="B88" s="39">
        <v>70</v>
      </c>
      <c r="C88" s="39">
        <v>59.91275292370522</v>
      </c>
      <c r="D88" s="22">
        <f t="shared" si="5"/>
        <v>-0.14410352966135398</v>
      </c>
      <c r="E88" s="25">
        <f t="shared" si="6"/>
        <v>0.16836560805577072</v>
      </c>
    </row>
    <row r="89" spans="1:5" x14ac:dyDescent="0.25">
      <c r="A89" s="35" t="s">
        <v>7</v>
      </c>
      <c r="B89" s="39">
        <v>1986</v>
      </c>
      <c r="C89" s="39">
        <v>1722.7770558752552</v>
      </c>
      <c r="D89" s="22">
        <f t="shared" si="5"/>
        <v>-0.1325392467899017</v>
      </c>
      <c r="E89" s="25">
        <f t="shared" si="6"/>
        <v>0.15278990582505436</v>
      </c>
    </row>
    <row r="90" spans="1:5" x14ac:dyDescent="0.25">
      <c r="A90" s="35" t="s">
        <v>79</v>
      </c>
      <c r="B90" s="39">
        <v>50</v>
      </c>
      <c r="C90" s="39">
        <v>43.683868572489331</v>
      </c>
      <c r="D90" s="22">
        <f t="shared" si="5"/>
        <v>-0.12632262855021337</v>
      </c>
      <c r="E90" s="25">
        <f t="shared" si="6"/>
        <v>0.14458727292042917</v>
      </c>
    </row>
    <row r="91" spans="1:5" x14ac:dyDescent="0.25">
      <c r="A91" s="35" t="s">
        <v>13</v>
      </c>
      <c r="B91" s="39">
        <v>232</v>
      </c>
      <c r="C91" s="39">
        <v>203.18173380360128</v>
      </c>
      <c r="D91" s="22">
        <f t="shared" si="5"/>
        <v>-0.12421666463964964</v>
      </c>
      <c r="E91" s="25">
        <f t="shared" si="6"/>
        <v>0.14183492608767145</v>
      </c>
    </row>
    <row r="92" spans="1:5" x14ac:dyDescent="0.25">
      <c r="A92" s="35" t="s">
        <v>52</v>
      </c>
      <c r="B92" s="39">
        <v>101</v>
      </c>
      <c r="C92" s="39">
        <v>89.441040768474394</v>
      </c>
      <c r="D92" s="22">
        <f t="shared" si="5"/>
        <v>-0.11444514090619406</v>
      </c>
      <c r="E92" s="25">
        <f t="shared" si="6"/>
        <v>0.12923551797040167</v>
      </c>
    </row>
    <row r="93" spans="1:5" x14ac:dyDescent="0.25">
      <c r="A93" s="35" t="s">
        <v>40</v>
      </c>
      <c r="B93" s="39">
        <v>44</v>
      </c>
      <c r="C93" s="39">
        <v>41.089660293298685</v>
      </c>
      <c r="D93" s="22">
        <f t="shared" si="5"/>
        <v>-6.614408424321172E-2</v>
      </c>
      <c r="E93" s="25">
        <f t="shared" si="6"/>
        <v>7.0829003840072291E-2</v>
      </c>
    </row>
    <row r="94" spans="1:5" x14ac:dyDescent="0.25">
      <c r="A94" s="35" t="s">
        <v>29</v>
      </c>
      <c r="B94" s="39">
        <v>481</v>
      </c>
      <c r="C94" s="39">
        <v>457.4</v>
      </c>
      <c r="D94" s="22">
        <f t="shared" si="5"/>
        <v>-4.9064449064449067E-2</v>
      </c>
      <c r="E94" s="25">
        <f t="shared" si="6"/>
        <v>5.1595977262789638E-2</v>
      </c>
    </row>
    <row r="95" spans="1:5" x14ac:dyDescent="0.25">
      <c r="A95" s="35" t="s">
        <v>34</v>
      </c>
      <c r="B95" s="39">
        <v>49</v>
      </c>
      <c r="C95" s="39">
        <v>47.395210692407652</v>
      </c>
      <c r="D95" s="22">
        <f t="shared" si="5"/>
        <v>-3.2750802195762208E-2</v>
      </c>
      <c r="E95" s="25">
        <f t="shared" si="6"/>
        <v>3.3859735702143956E-2</v>
      </c>
    </row>
    <row r="96" spans="1:5" x14ac:dyDescent="0.25">
      <c r="A96" s="35" t="s">
        <v>22</v>
      </c>
      <c r="B96" s="39">
        <v>126</v>
      </c>
      <c r="C96" s="39">
        <v>123.35698032391916</v>
      </c>
      <c r="D96" s="22">
        <f t="shared" si="5"/>
        <v>-2.0976346635562249E-2</v>
      </c>
      <c r="E96" s="25">
        <f t="shared" si="6"/>
        <v>2.1425781250000053E-2</v>
      </c>
    </row>
    <row r="97" spans="1:5" ht="15.75" thickBot="1" x14ac:dyDescent="0.3">
      <c r="A97" s="36" t="s">
        <v>35</v>
      </c>
      <c r="B97" s="40">
        <v>62</v>
      </c>
      <c r="C97" s="40">
        <v>68.618897345461306</v>
      </c>
      <c r="D97" s="23">
        <f t="shared" si="5"/>
        <v>0.10675640879776305</v>
      </c>
      <c r="E97" s="8">
        <f t="shared" si="6"/>
        <v>-9.6458812390098903E-2</v>
      </c>
    </row>
  </sheetData>
  <sortState ref="A14:E97">
    <sortCondition descending="1" ref="E14:E97"/>
  </sortState>
  <mergeCells count="5">
    <mergeCell ref="B5:E6"/>
    <mergeCell ref="B7:B8"/>
    <mergeCell ref="C7:C8"/>
    <mergeCell ref="B12:B13"/>
    <mergeCell ref="C12:C13"/>
  </mergeCells>
  <conditionalFormatting sqref="E97 E9:E11">
    <cfRule type="cellIs" dxfId="212" priority="6" operator="lessThan">
      <formula>0</formula>
    </cfRule>
    <cfRule type="expression" dxfId="211" priority="7" stopIfTrue="1">
      <formula>$I:$I&lt;0%</formula>
    </cfRule>
  </conditionalFormatting>
  <conditionalFormatting sqref="E14">
    <cfRule type="expression" dxfId="210" priority="5">
      <formula>$E:$E&lt;0%</formula>
    </cfRule>
  </conditionalFormatting>
  <conditionalFormatting sqref="A14:E97">
    <cfRule type="expression" dxfId="209" priority="4">
      <formula>MOD(ROW(),2)</formula>
    </cfRule>
  </conditionalFormatting>
  <conditionalFormatting sqref="D14:D97 D9:D10">
    <cfRule type="expression" dxfId="208" priority="2">
      <formula>$D:$D&gt;0%</formula>
    </cfRule>
    <cfRule type="expression" dxfId="207" priority="3">
      <formula>$D$14:$D$97&lt;0</formula>
    </cfRule>
  </conditionalFormatting>
  <conditionalFormatting sqref="D97">
    <cfRule type="expression" dxfId="206" priority="1">
      <formula>$D$97&gt;0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Aufholpotenzial-Berechnung</vt:lpstr>
      <vt:lpstr>Gestiegen seit Tief</vt:lpstr>
      <vt:lpstr>Nur Aktuell</vt:lpstr>
      <vt:lpstr>Nur Rückblick</vt:lpstr>
      <vt:lpstr>'Aufholpotenzial-Berechnung'!Drucktitel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Gooss, Andreas</dc:creator>
  <cp:lastModifiedBy>Wendling, Christoph</cp:lastModifiedBy>
  <cp:lastPrinted>2020-04-28T13:22:00Z</cp:lastPrinted>
  <dcterms:created xsi:type="dcterms:W3CDTF">2020-03-02T12:45:26Z</dcterms:created>
  <dcterms:modified xsi:type="dcterms:W3CDTF">2020-08-27T14:20:54Z</dcterms:modified>
</cp:coreProperties>
</file>